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 activeTab="7"/>
  </bookViews>
  <sheets>
    <sheet name="1.1.összevont" sheetId="1" r:id="rId1"/>
    <sheet name="1.2.kötelező" sheetId="4" r:id="rId2"/>
    <sheet name="1.3.önként" sheetId="5" r:id="rId3"/>
    <sheet name="1.4.államigazg" sheetId="6" r:id="rId4"/>
    <sheet name="2.1.műkmérleg" sheetId="2" r:id="rId5"/>
    <sheet name="2.2.felhmérleg" sheetId="7" r:id="rId6"/>
    <sheet name="3.1 Önk bev." sheetId="22" r:id="rId7"/>
    <sheet name="3.2 PMH bev." sheetId="23" r:id="rId8"/>
    <sheet name="3.3 GKP bev" sheetId="24" r:id="rId9"/>
    <sheet name="3.4 VE bev" sheetId="25" r:id="rId10"/>
    <sheet name="3.5 MH bev." sheetId="31" r:id="rId11"/>
    <sheet name="4.1.Önk kiad" sheetId="26" r:id="rId12"/>
    <sheet name="4.2.PMH kiad" sheetId="27" r:id="rId13"/>
    <sheet name="4.3. GKP kiad" sheetId="28" r:id="rId14"/>
    <sheet name="4.4. VE kiad" sheetId="29" r:id="rId15"/>
    <sheet name="4.5. MH kiad" sheetId="30" r:id="rId16"/>
    <sheet name="5.Beruh" sheetId="18" r:id="rId17"/>
    <sheet name="6.Felújít" sheetId="20" r:id="rId18"/>
  </sheets>
  <definedNames>
    <definedName name="_xlnm._FilterDatabase" localSheetId="6" hidden="1">'3.1 Önk bev.'!$A$5:$AO$84</definedName>
    <definedName name="_xlnm.Print_Area" localSheetId="6">'3.1 Önk bev.'!$A$1:$AM$84</definedName>
    <definedName name="_xlnm.Print_Area" localSheetId="7">'3.2 PMH bev.'!$A$1:$AE$10</definedName>
    <definedName name="_xlnm.Print_Area" localSheetId="8">'3.3 GKP bev'!$A$1:$AF$19</definedName>
    <definedName name="_xlnm.Print_Area" localSheetId="9">'3.4 VE bev'!$A$1:$AB$17</definedName>
    <definedName name="_xlnm.Print_Area" localSheetId="10">'3.5 MH bev.'!$A$1:$AE$14</definedName>
    <definedName name="_xlnm.Print_Area" localSheetId="11">'4.1.Önk kiad'!$A$1:$AV$91</definedName>
    <definedName name="_xlnm.Print_Area" localSheetId="12">'4.2.PMH kiad'!$A$1:$AJ$12</definedName>
    <definedName name="_xlnm.Print_Area" localSheetId="13">'4.3. GKP kiad'!$A$1:$AJ$21</definedName>
    <definedName name="_xlnm.Print_Area" localSheetId="14">'4.4. VE kiad'!$A$1:$AJ$11</definedName>
    <definedName name="_xlnm.Print_Area" localSheetId="15">'4.5. MH kiad'!$A$1:$AJ$16</definedName>
    <definedName name="Verzió" localSheetId="7">#REF!</definedName>
    <definedName name="Verzió" localSheetId="8">#REF!</definedName>
    <definedName name="Verzió" localSheetId="9">#REF!</definedName>
    <definedName name="Verzió" localSheetId="10">#REF!</definedName>
    <definedName name="Verzió" localSheetId="11">#REF!</definedName>
    <definedName name="Verzió" localSheetId="12">#REF!</definedName>
    <definedName name="Verzió" localSheetId="13">#REF!</definedName>
    <definedName name="Verzió" localSheetId="14">#REF!</definedName>
    <definedName name="Verzió" localSheetId="15">#REF!</definedName>
    <definedName name="Verzió">#REF!</definedName>
  </definedNames>
  <calcPr calcId="145621"/>
</workbook>
</file>

<file path=xl/calcChain.xml><?xml version="1.0" encoding="utf-8"?>
<calcChain xmlns="http://schemas.openxmlformats.org/spreadsheetml/2006/main">
  <c r="E15" i="7" l="1"/>
  <c r="E21" i="7"/>
  <c r="AM70" i="22" l="1"/>
  <c r="AM69" i="22"/>
  <c r="G11" i="20"/>
  <c r="G13" i="20"/>
  <c r="F13" i="20"/>
  <c r="H53" i="18"/>
  <c r="H52" i="18"/>
  <c r="H51" i="18"/>
  <c r="H50" i="18"/>
  <c r="H64" i="18"/>
  <c r="H65" i="18"/>
  <c r="H66" i="18"/>
  <c r="G29" i="18"/>
  <c r="G37" i="18"/>
  <c r="G47" i="18" s="1"/>
  <c r="G67" i="18" l="1"/>
  <c r="G58" i="18"/>
  <c r="G54" i="18"/>
  <c r="G68" i="18" s="1"/>
  <c r="E22" i="7" l="1"/>
  <c r="K20" i="2"/>
  <c r="K17" i="2"/>
  <c r="K9" i="2"/>
  <c r="K10" i="2"/>
  <c r="K11" i="2"/>
  <c r="K12" i="2"/>
  <c r="K13" i="2"/>
  <c r="K8" i="2"/>
  <c r="F21" i="2"/>
  <c r="F20" i="2"/>
  <c r="F17" i="2"/>
  <c r="F16" i="2"/>
  <c r="F15" i="2"/>
  <c r="F9" i="2"/>
  <c r="F10" i="2"/>
  <c r="F11" i="2"/>
  <c r="F12" i="2"/>
  <c r="F8" i="2"/>
  <c r="J12" i="2"/>
  <c r="E16" i="5" l="1"/>
  <c r="N62" i="22"/>
  <c r="E12" i="4"/>
  <c r="E10" i="4"/>
  <c r="F25" i="1" l="1"/>
  <c r="F24" i="1" s="1"/>
  <c r="AL76" i="22"/>
  <c r="AL66" i="22"/>
  <c r="P64" i="22"/>
  <c r="P82" i="22" s="1"/>
  <c r="AL67" i="22"/>
  <c r="AL68" i="22"/>
  <c r="M62" i="22"/>
  <c r="X5" i="31"/>
  <c r="AD5" i="31" s="1"/>
  <c r="X10" i="24"/>
  <c r="AC5" i="31"/>
  <c r="AI8" i="28"/>
  <c r="L17" i="24"/>
  <c r="AQ62" i="26"/>
  <c r="M30" i="26"/>
  <c r="AV86" i="26"/>
  <c r="AR39" i="26"/>
  <c r="AR40" i="26"/>
  <c r="AR41" i="26"/>
  <c r="AR42" i="26"/>
  <c r="AR43" i="26"/>
  <c r="AR44" i="26"/>
  <c r="AR45" i="26"/>
  <c r="AR46" i="26"/>
  <c r="AR47" i="26"/>
  <c r="AR48" i="26"/>
  <c r="AR49" i="26"/>
  <c r="AR50" i="26"/>
  <c r="AR51" i="26"/>
  <c r="AR52" i="26"/>
  <c r="AR53" i="26"/>
  <c r="AR54" i="26"/>
  <c r="AR55" i="26"/>
  <c r="AQ39" i="26"/>
  <c r="AQ45" i="26"/>
  <c r="AQ46" i="26"/>
  <c r="AQ47" i="26"/>
  <c r="AQ48" i="26"/>
  <c r="AQ49" i="26"/>
  <c r="AQ50" i="26"/>
  <c r="AQ51" i="26"/>
  <c r="AQ52" i="26"/>
  <c r="AQ53" i="26"/>
  <c r="AQ54" i="26"/>
  <c r="AQ55" i="26"/>
  <c r="AQ56" i="26"/>
  <c r="AQ57" i="26"/>
  <c r="AQ58" i="26"/>
  <c r="AQ59" i="26"/>
  <c r="AQ60" i="26"/>
  <c r="AQ61" i="26"/>
  <c r="AQ63" i="26"/>
  <c r="AQ23" i="26"/>
  <c r="AQ24" i="26"/>
  <c r="AQ25" i="26"/>
  <c r="AL39" i="22"/>
  <c r="AK39" i="22"/>
  <c r="AM43" i="22"/>
  <c r="AM44" i="22"/>
  <c r="AM45" i="22"/>
  <c r="AM46" i="22"/>
  <c r="AM47" i="22"/>
  <c r="AM49" i="22"/>
  <c r="AM50" i="22"/>
  <c r="AM51" i="22"/>
  <c r="AM52" i="22"/>
  <c r="AM53" i="22"/>
  <c r="AM54" i="22"/>
  <c r="AM55" i="22"/>
  <c r="AM56" i="22"/>
  <c r="AM57" i="22"/>
  <c r="AM27" i="22"/>
  <c r="AM28" i="22"/>
  <c r="AM29" i="22"/>
  <c r="AM17" i="22"/>
  <c r="AM18" i="22"/>
  <c r="AM19" i="22"/>
  <c r="AM20" i="22"/>
  <c r="AM11" i="22"/>
  <c r="AL52" i="22"/>
  <c r="AL53" i="22"/>
  <c r="AL54" i="22"/>
  <c r="AL55" i="22"/>
  <c r="AL56" i="22"/>
  <c r="AL57" i="22"/>
  <c r="AL58" i="22"/>
  <c r="AM58" i="22" s="1"/>
  <c r="AL43" i="22"/>
  <c r="J61" i="22"/>
  <c r="AM39" i="22" l="1"/>
  <c r="M31" i="22" l="1"/>
  <c r="M51" i="22"/>
  <c r="M26" i="22"/>
  <c r="M53" i="22"/>
  <c r="M52" i="22"/>
  <c r="M27" i="22"/>
  <c r="M28" i="22"/>
  <c r="M29" i="22"/>
  <c r="M30" i="22"/>
  <c r="M23" i="22"/>
  <c r="M24" i="22"/>
  <c r="M25" i="22"/>
  <c r="M13" i="22"/>
  <c r="M14" i="22"/>
  <c r="M15" i="22"/>
  <c r="M16" i="22"/>
  <c r="M17" i="22"/>
  <c r="M18" i="22"/>
  <c r="M19" i="22"/>
  <c r="M20" i="22"/>
  <c r="M21" i="22"/>
  <c r="M22" i="22"/>
  <c r="E13" i="20" l="1"/>
  <c r="D13" i="20"/>
  <c r="B13" i="20"/>
  <c r="F11" i="20"/>
  <c r="F67" i="18"/>
  <c r="E67" i="18"/>
  <c r="F61" i="18"/>
  <c r="E61" i="18"/>
  <c r="D61" i="18"/>
  <c r="B61" i="18"/>
  <c r="F54" i="18"/>
  <c r="E54" i="18"/>
  <c r="D47" i="18"/>
  <c r="D68" i="18" s="1"/>
  <c r="F37" i="18"/>
  <c r="E37" i="18"/>
  <c r="B37" i="18"/>
  <c r="F29" i="18"/>
  <c r="F47" i="18" s="1"/>
  <c r="F68" i="18" s="1"/>
  <c r="E29" i="18"/>
  <c r="B29" i="18"/>
  <c r="B47" i="18" s="1"/>
  <c r="B68" i="18" s="1"/>
  <c r="E47" i="18" l="1"/>
  <c r="E68" i="18" s="1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13" i="30"/>
  <c r="X13" i="30"/>
  <c r="Y13" i="30"/>
  <c r="Z13" i="30"/>
  <c r="AA13" i="30"/>
  <c r="AB13" i="30"/>
  <c r="AC13" i="30"/>
  <c r="AD13" i="30"/>
  <c r="AE13" i="30"/>
  <c r="AF13" i="30"/>
  <c r="AG13" i="30"/>
  <c r="AH13" i="30"/>
  <c r="D14" i="30"/>
  <c r="D13" i="30"/>
  <c r="L12" i="30"/>
  <c r="M12" i="30"/>
  <c r="N12" i="30"/>
  <c r="O12" i="30"/>
  <c r="P12" i="30"/>
  <c r="Q12" i="30"/>
  <c r="R12" i="30"/>
  <c r="S12" i="30"/>
  <c r="T12" i="30"/>
  <c r="U12" i="30"/>
  <c r="V12" i="30"/>
  <c r="W12" i="30"/>
  <c r="X12" i="30"/>
  <c r="Y12" i="30"/>
  <c r="Z12" i="30"/>
  <c r="AA12" i="30"/>
  <c r="AB12" i="30"/>
  <c r="AC12" i="30"/>
  <c r="AD12" i="30"/>
  <c r="AF12" i="30"/>
  <c r="AH12" i="30"/>
  <c r="K12" i="30"/>
  <c r="J12" i="30"/>
  <c r="AJ10" i="30"/>
  <c r="AI10" i="30"/>
  <c r="AH10" i="30"/>
  <c r="AH11" i="30"/>
  <c r="AE10" i="30"/>
  <c r="AE11" i="30"/>
  <c r="AI6" i="27"/>
  <c r="AJ6" i="27" s="1"/>
  <c r="AH6" i="27"/>
  <c r="AP29" i="26"/>
  <c r="AP30" i="26"/>
  <c r="AP31" i="26"/>
  <c r="AP32" i="26"/>
  <c r="AP33" i="26"/>
  <c r="AP34" i="26"/>
  <c r="AP35" i="26"/>
  <c r="AP36" i="26"/>
  <c r="AP37" i="26"/>
  <c r="AP38" i="26"/>
  <c r="AP39" i="26"/>
  <c r="AP40" i="26"/>
  <c r="AP41" i="26"/>
  <c r="AP42" i="26"/>
  <c r="AP43" i="26"/>
  <c r="AP44" i="26"/>
  <c r="AP45" i="26"/>
  <c r="AP46" i="26"/>
  <c r="AP47" i="26"/>
  <c r="AP48" i="26"/>
  <c r="AP49" i="26"/>
  <c r="AP50" i="26"/>
  <c r="AP51" i="26"/>
  <c r="AP52" i="26"/>
  <c r="AP53" i="26"/>
  <c r="AP54" i="26"/>
  <c r="AP55" i="26"/>
  <c r="AP56" i="26"/>
  <c r="AP57" i="26"/>
  <c r="AP58" i="26"/>
  <c r="AP59" i="26"/>
  <c r="AP60" i="26"/>
  <c r="AP61" i="26"/>
  <c r="AP63" i="26"/>
  <c r="AO48" i="26"/>
  <c r="AO49" i="26"/>
  <c r="AO50" i="26"/>
  <c r="AO51" i="26"/>
  <c r="AO52" i="26"/>
  <c r="AO53" i="26"/>
  <c r="AO54" i="26"/>
  <c r="AO55" i="26"/>
  <c r="AO56" i="26"/>
  <c r="AO57" i="26"/>
  <c r="AO58" i="26"/>
  <c r="AO59" i="26"/>
  <c r="AO60" i="26"/>
  <c r="AO61" i="26"/>
  <c r="AO63" i="26"/>
  <c r="AO39" i="26"/>
  <c r="AO40" i="26"/>
  <c r="AO41" i="26"/>
  <c r="AO42" i="26"/>
  <c r="AO43" i="26"/>
  <c r="AO44" i="26"/>
  <c r="AO45" i="26"/>
  <c r="AO46" i="26"/>
  <c r="AO47" i="26"/>
  <c r="AP23" i="26"/>
  <c r="AP24" i="26"/>
  <c r="AP25" i="26"/>
  <c r="AP26" i="26"/>
  <c r="AO25" i="26"/>
  <c r="AO24" i="26"/>
  <c r="AO23" i="26"/>
  <c r="L64" i="26"/>
  <c r="E74" i="26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X12" i="31"/>
  <c r="Y12" i="31"/>
  <c r="Z12" i="31"/>
  <c r="AA12" i="31"/>
  <c r="AB12" i="31"/>
  <c r="AC12" i="31"/>
  <c r="D12" i="31"/>
  <c r="E14" i="31"/>
  <c r="F14" i="31"/>
  <c r="G14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Z14" i="31"/>
  <c r="AA14" i="31"/>
  <c r="AB14" i="31"/>
  <c r="AC14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Z13" i="31"/>
  <c r="AA13" i="31"/>
  <c r="AB13" i="31"/>
  <c r="AC13" i="31"/>
  <c r="D14" i="31"/>
  <c r="D13" i="31"/>
  <c r="AD10" i="31"/>
  <c r="AE10" i="31" s="1"/>
  <c r="AD11" i="31"/>
  <c r="AE11" i="31" s="1"/>
  <c r="AC10" i="31"/>
  <c r="AC11" i="31"/>
  <c r="AB10" i="31"/>
  <c r="AB11" i="31"/>
  <c r="AC7" i="23"/>
  <c r="AC6" i="23"/>
  <c r="AD6" i="23"/>
  <c r="AB6" i="23"/>
  <c r="AK76" i="22"/>
  <c r="AK71" i="22"/>
  <c r="AK67" i="22"/>
  <c r="AK68" i="22"/>
  <c r="AI67" i="22"/>
  <c r="AI68" i="22"/>
  <c r="AK70" i="22"/>
  <c r="AI70" i="22"/>
  <c r="AJ70" i="22"/>
  <c r="AI71" i="22"/>
  <c r="O64" i="22"/>
  <c r="N64" i="22"/>
  <c r="L62" i="22"/>
  <c r="K62" i="22"/>
  <c r="AL11" i="22"/>
  <c r="AK11" i="22"/>
  <c r="AL18" i="22"/>
  <c r="AL19" i="22"/>
  <c r="AL20" i="22"/>
  <c r="AL21" i="22"/>
  <c r="AK18" i="22"/>
  <c r="AK19" i="22"/>
  <c r="AK20" i="22"/>
  <c r="AL38" i="22"/>
  <c r="AM38" i="22" s="1"/>
  <c r="AI39" i="22"/>
  <c r="AJ39" i="22"/>
  <c r="AL27" i="22"/>
  <c r="AL28" i="22"/>
  <c r="AK27" i="22"/>
  <c r="AK28" i="22"/>
  <c r="AK43" i="22"/>
  <c r="AI43" i="22"/>
  <c r="AI50" i="22"/>
  <c r="AI51" i="22"/>
  <c r="AI52" i="22"/>
  <c r="AI53" i="22"/>
  <c r="AI54" i="22"/>
  <c r="AI55" i="22"/>
  <c r="AI56" i="22"/>
  <c r="AI57" i="22"/>
  <c r="AI58" i="22"/>
  <c r="AI59" i="22"/>
  <c r="AK52" i="22"/>
  <c r="AK53" i="22"/>
  <c r="AK54" i="22"/>
  <c r="AK55" i="22"/>
  <c r="AK56" i="22"/>
  <c r="AK57" i="22"/>
  <c r="AK58" i="22"/>
  <c r="AG62" i="22"/>
  <c r="AH62" i="22"/>
  <c r="AF64" i="22"/>
  <c r="AG64" i="22"/>
  <c r="AH64" i="22"/>
  <c r="AI49" i="22"/>
  <c r="AI28" i="22"/>
  <c r="AI27" i="22"/>
  <c r="AI20" i="22"/>
  <c r="AI19" i="22"/>
  <c r="AI18" i="22"/>
  <c r="AI11" i="22"/>
  <c r="C15" i="7"/>
  <c r="AE6" i="23" l="1"/>
  <c r="F72" i="5"/>
  <c r="D16" i="5"/>
  <c r="C16" i="5"/>
  <c r="D65" i="4"/>
  <c r="C59" i="4"/>
  <c r="D59" i="1"/>
  <c r="E25" i="1"/>
  <c r="D25" i="1"/>
  <c r="E60" i="5" l="1"/>
  <c r="AI73" i="22"/>
  <c r="AI74" i="22"/>
  <c r="G70" i="26" l="1"/>
  <c r="F70" i="26"/>
  <c r="AE64" i="26" l="1"/>
  <c r="K9" i="7" l="1"/>
  <c r="K10" i="7"/>
  <c r="K13" i="7"/>
  <c r="K8" i="7"/>
  <c r="F9" i="7"/>
  <c r="F14" i="7"/>
  <c r="F17" i="7"/>
  <c r="F8" i="7"/>
  <c r="J15" i="7"/>
  <c r="E16" i="7"/>
  <c r="J20" i="2"/>
  <c r="J15" i="2"/>
  <c r="K15" i="2" s="1"/>
  <c r="E16" i="2"/>
  <c r="E20" i="2" s="1"/>
  <c r="E15" i="2"/>
  <c r="D15" i="2"/>
  <c r="F55" i="4"/>
  <c r="F56" i="4"/>
  <c r="F57" i="4"/>
  <c r="F58" i="4"/>
  <c r="F60" i="4"/>
  <c r="F63" i="4"/>
  <c r="F64" i="4"/>
  <c r="F69" i="4"/>
  <c r="F71" i="4"/>
  <c r="F74" i="4"/>
  <c r="F75" i="4"/>
  <c r="F83" i="4"/>
  <c r="E36" i="4"/>
  <c r="D47" i="4"/>
  <c r="E47" i="4"/>
  <c r="D46" i="4"/>
  <c r="E46" i="4"/>
  <c r="D45" i="4"/>
  <c r="E45" i="4"/>
  <c r="E48" i="4" s="1"/>
  <c r="E59" i="4"/>
  <c r="E54" i="4" s="1"/>
  <c r="E82" i="4"/>
  <c r="D77" i="4"/>
  <c r="E77" i="4"/>
  <c r="E73" i="4"/>
  <c r="F10" i="4"/>
  <c r="F11" i="4"/>
  <c r="F12" i="4"/>
  <c r="F13" i="4"/>
  <c r="F14" i="4"/>
  <c r="F18" i="4"/>
  <c r="F21" i="4"/>
  <c r="F22" i="4"/>
  <c r="F26" i="4"/>
  <c r="F27" i="4"/>
  <c r="F28" i="4"/>
  <c r="F29" i="4"/>
  <c r="F30" i="4"/>
  <c r="F31" i="4"/>
  <c r="F41" i="4"/>
  <c r="E16" i="4"/>
  <c r="E25" i="4"/>
  <c r="E20" i="4"/>
  <c r="E9" i="4"/>
  <c r="F56" i="5"/>
  <c r="F57" i="5"/>
  <c r="F58" i="5"/>
  <c r="F59" i="5"/>
  <c r="F64" i="5"/>
  <c r="F65" i="5"/>
  <c r="F67" i="5"/>
  <c r="F68" i="5"/>
  <c r="F70" i="5"/>
  <c r="F71" i="5"/>
  <c r="E88" i="5"/>
  <c r="E83" i="5"/>
  <c r="E78" i="5"/>
  <c r="E69" i="5"/>
  <c r="E55" i="5"/>
  <c r="E77" i="5" s="1"/>
  <c r="E89" i="5" s="1"/>
  <c r="E25" i="5"/>
  <c r="E24" i="5" s="1"/>
  <c r="E43" i="5"/>
  <c r="F18" i="5"/>
  <c r="F22" i="5"/>
  <c r="F23" i="5"/>
  <c r="F32" i="5"/>
  <c r="F34" i="5"/>
  <c r="F35" i="5"/>
  <c r="F42" i="5"/>
  <c r="E49" i="5"/>
  <c r="E94" i="5" s="1"/>
  <c r="E20" i="5"/>
  <c r="E9" i="5"/>
  <c r="E94" i="6"/>
  <c r="F56" i="6"/>
  <c r="F57" i="6"/>
  <c r="F10" i="6"/>
  <c r="E88" i="6"/>
  <c r="E83" i="6"/>
  <c r="E78" i="6"/>
  <c r="E69" i="6"/>
  <c r="E55" i="6"/>
  <c r="E49" i="6"/>
  <c r="E43" i="6"/>
  <c r="E37" i="6"/>
  <c r="E24" i="6"/>
  <c r="E20" i="6"/>
  <c r="E16" i="6"/>
  <c r="E9" i="6"/>
  <c r="E36" i="6" s="1"/>
  <c r="E50" i="6" s="1"/>
  <c r="G55" i="1"/>
  <c r="G56" i="1"/>
  <c r="G57" i="1"/>
  <c r="G58" i="1"/>
  <c r="G60" i="1"/>
  <c r="G63" i="1"/>
  <c r="G64" i="1"/>
  <c r="G66" i="1"/>
  <c r="G67" i="1"/>
  <c r="G69" i="1"/>
  <c r="G70" i="1"/>
  <c r="G71" i="1"/>
  <c r="G83" i="1"/>
  <c r="E42" i="1"/>
  <c r="F42" i="1"/>
  <c r="F73" i="1"/>
  <c r="E20" i="7" l="1"/>
  <c r="J22" i="2"/>
  <c r="J21" i="2"/>
  <c r="K21" i="2" s="1"/>
  <c r="E21" i="2"/>
  <c r="E77" i="6"/>
  <c r="E87" i="4"/>
  <c r="E68" i="4"/>
  <c r="E24" i="4"/>
  <c r="J21" i="7"/>
  <c r="E76" i="4"/>
  <c r="E36" i="5"/>
  <c r="J23" i="2" l="1"/>
  <c r="E93" i="5"/>
  <c r="E50" i="5"/>
  <c r="E93" i="6"/>
  <c r="E89" i="6"/>
  <c r="E93" i="4"/>
  <c r="E88" i="4"/>
  <c r="E35" i="4"/>
  <c r="J23" i="7"/>
  <c r="E92" i="4" l="1"/>
  <c r="E49" i="4"/>
  <c r="F59" i="1"/>
  <c r="F82" i="1"/>
  <c r="F77" i="1"/>
  <c r="F68" i="1"/>
  <c r="G10" i="1"/>
  <c r="G11" i="1"/>
  <c r="G12" i="1"/>
  <c r="G13" i="1"/>
  <c r="G14" i="1"/>
  <c r="G18" i="1"/>
  <c r="G19" i="1"/>
  <c r="G21" i="1"/>
  <c r="G22" i="1"/>
  <c r="G23" i="1"/>
  <c r="G25" i="1"/>
  <c r="G26" i="1"/>
  <c r="G27" i="1"/>
  <c r="G28" i="1"/>
  <c r="G29" i="1"/>
  <c r="G30" i="1"/>
  <c r="G31" i="1"/>
  <c r="G33" i="1"/>
  <c r="G41" i="1"/>
  <c r="F48" i="1"/>
  <c r="F20" i="1"/>
  <c r="F16" i="1"/>
  <c r="F9" i="1"/>
  <c r="F93" i="1" l="1"/>
  <c r="F87" i="1"/>
  <c r="F54" i="1"/>
  <c r="F76" i="1" s="1"/>
  <c r="F35" i="1"/>
  <c r="F49" i="1" s="1"/>
  <c r="F92" i="1" l="1"/>
  <c r="F88" i="1"/>
  <c r="AJ76" i="22"/>
  <c r="AI76" i="22"/>
  <c r="AK37" i="22"/>
  <c r="AK49" i="22" l="1"/>
  <c r="AK38" i="22"/>
  <c r="P62" i="22" l="1"/>
  <c r="P81" i="22" s="1"/>
  <c r="O62" i="22"/>
  <c r="O81" i="22" s="1"/>
  <c r="J72" i="26"/>
  <c r="J73" i="26"/>
  <c r="J90" i="26" s="1"/>
  <c r="G72" i="26"/>
  <c r="G88" i="26" s="1"/>
  <c r="G73" i="26"/>
  <c r="G90" i="26" s="1"/>
  <c r="AU88" i="26"/>
  <c r="AU89" i="26"/>
  <c r="AU90" i="26"/>
  <c r="AN89" i="26"/>
  <c r="AK89" i="26"/>
  <c r="AH89" i="26"/>
  <c r="AE89" i="26"/>
  <c r="AB89" i="26"/>
  <c r="Y89" i="26"/>
  <c r="V89" i="26"/>
  <c r="S89" i="26"/>
  <c r="P89" i="26"/>
  <c r="M89" i="26"/>
  <c r="J88" i="26"/>
  <c r="J89" i="26"/>
  <c r="G89" i="26"/>
  <c r="AQ78" i="26"/>
  <c r="AQ77" i="26" s="1"/>
  <c r="AQ79" i="26"/>
  <c r="AN77" i="26"/>
  <c r="AK77" i="26"/>
  <c r="AH77" i="26"/>
  <c r="AE77" i="26"/>
  <c r="AB77" i="26"/>
  <c r="Y77" i="26"/>
  <c r="V77" i="26"/>
  <c r="S77" i="26"/>
  <c r="P77" i="26"/>
  <c r="M77" i="26"/>
  <c r="J77" i="26"/>
  <c r="G77" i="26"/>
  <c r="AU77" i="26"/>
  <c r="AH81" i="22"/>
  <c r="AH82" i="22"/>
  <c r="AH83" i="22"/>
  <c r="AB83" i="22"/>
  <c r="AC83" i="22"/>
  <c r="AD83" i="22"/>
  <c r="AE83" i="22"/>
  <c r="Y83" i="22"/>
  <c r="V83" i="22"/>
  <c r="S83" i="22"/>
  <c r="P83" i="22"/>
  <c r="M83" i="22"/>
  <c r="J83" i="22"/>
  <c r="G83" i="22"/>
  <c r="AL70" i="22"/>
  <c r="AL69" i="22" s="1"/>
  <c r="AH69" i="22"/>
  <c r="AC69" i="22"/>
  <c r="AD69" i="22"/>
  <c r="AE69" i="22"/>
  <c r="AC75" i="22"/>
  <c r="AD75" i="22"/>
  <c r="AE75" i="22"/>
  <c r="AB69" i="22"/>
  <c r="Y69" i="22"/>
  <c r="V69" i="22"/>
  <c r="S69" i="22"/>
  <c r="P69" i="22"/>
  <c r="M69" i="22"/>
  <c r="J69" i="22"/>
  <c r="G69" i="22"/>
  <c r="AQ75" i="26"/>
  <c r="AQ76" i="26"/>
  <c r="AQ89" i="26" s="1"/>
  <c r="AM74" i="26"/>
  <c r="AN74" i="26"/>
  <c r="AJ74" i="26"/>
  <c r="AK74" i="26"/>
  <c r="AG74" i="26"/>
  <c r="AH74" i="26"/>
  <c r="AE74" i="26"/>
  <c r="Y74" i="26"/>
  <c r="V74" i="26"/>
  <c r="AN72" i="26"/>
  <c r="AN88" i="26" s="1"/>
  <c r="AN73" i="26"/>
  <c r="AN90" i="26" s="1"/>
  <c r="AK64" i="26"/>
  <c r="AK72" i="26"/>
  <c r="AK88" i="26" s="1"/>
  <c r="AK73" i="26"/>
  <c r="AK90" i="26" s="1"/>
  <c r="AH72" i="26"/>
  <c r="AH88" i="26" s="1"/>
  <c r="AH73" i="26"/>
  <c r="AH90" i="26" s="1"/>
  <c r="AE72" i="26"/>
  <c r="AE88" i="26" s="1"/>
  <c r="AE73" i="26"/>
  <c r="AE90" i="26" s="1"/>
  <c r="AB72" i="26"/>
  <c r="AB88" i="26" s="1"/>
  <c r="AB73" i="26"/>
  <c r="AB90" i="26" s="1"/>
  <c r="Y72" i="26"/>
  <c r="Y88" i="26" s="1"/>
  <c r="Y73" i="26"/>
  <c r="Y90" i="26" s="1"/>
  <c r="V72" i="26"/>
  <c r="V88" i="26" s="1"/>
  <c r="V73" i="26"/>
  <c r="V90" i="26" s="1"/>
  <c r="P72" i="26"/>
  <c r="P88" i="26" s="1"/>
  <c r="P73" i="26"/>
  <c r="P90" i="26" s="1"/>
  <c r="M73" i="26"/>
  <c r="M90" i="26" s="1"/>
  <c r="S73" i="26"/>
  <c r="S90" i="26" s="1"/>
  <c r="S74" i="26"/>
  <c r="P74" i="26"/>
  <c r="M74" i="26"/>
  <c r="J74" i="26"/>
  <c r="G74" i="26"/>
  <c r="AU74" i="26"/>
  <c r="AL65" i="22"/>
  <c r="AH65" i="22"/>
  <c r="AC65" i="22"/>
  <c r="AD65" i="22"/>
  <c r="AE65" i="22"/>
  <c r="AB65" i="22"/>
  <c r="Y65" i="22"/>
  <c r="V65" i="22"/>
  <c r="S65" i="22"/>
  <c r="P65" i="22"/>
  <c r="M65" i="22"/>
  <c r="J65" i="22"/>
  <c r="G65" i="22"/>
  <c r="AQ84" i="26"/>
  <c r="AQ85" i="26"/>
  <c r="AN83" i="26"/>
  <c r="AK83" i="26"/>
  <c r="AH83" i="26"/>
  <c r="AE83" i="26"/>
  <c r="AB83" i="26"/>
  <c r="Y83" i="26"/>
  <c r="V83" i="26"/>
  <c r="S83" i="26"/>
  <c r="P83" i="26"/>
  <c r="M83" i="26"/>
  <c r="J83" i="26"/>
  <c r="G83" i="26"/>
  <c r="AU83" i="26"/>
  <c r="AL77" i="22"/>
  <c r="AL75" i="22" s="1"/>
  <c r="AH75" i="22"/>
  <c r="AB75" i="22"/>
  <c r="Y75" i="22"/>
  <c r="V75" i="22"/>
  <c r="S75" i="22"/>
  <c r="P75" i="22"/>
  <c r="M75" i="22"/>
  <c r="J75" i="22"/>
  <c r="G75" i="22"/>
  <c r="AQ81" i="26"/>
  <c r="AQ82" i="26"/>
  <c r="AM80" i="26"/>
  <c r="AN80" i="26"/>
  <c r="AJ80" i="26"/>
  <c r="AK80" i="26"/>
  <c r="AG80" i="26"/>
  <c r="AH80" i="26"/>
  <c r="AE80" i="26"/>
  <c r="Y80" i="26"/>
  <c r="V80" i="26"/>
  <c r="S80" i="26"/>
  <c r="P80" i="26"/>
  <c r="M80" i="26"/>
  <c r="J80" i="26"/>
  <c r="G80" i="26"/>
  <c r="AD17" i="28"/>
  <c r="AD18" i="28"/>
  <c r="AD19" i="28"/>
  <c r="AA17" i="28"/>
  <c r="AA18" i="28"/>
  <c r="AA19" i="28"/>
  <c r="X17" i="28"/>
  <c r="X18" i="28"/>
  <c r="X19" i="28"/>
  <c r="U17" i="28"/>
  <c r="U18" i="28"/>
  <c r="U19" i="28"/>
  <c r="R17" i="28"/>
  <c r="R18" i="28"/>
  <c r="R19" i="28"/>
  <c r="O17" i="28"/>
  <c r="O18" i="28"/>
  <c r="O19" i="28"/>
  <c r="L17" i="28"/>
  <c r="L18" i="28"/>
  <c r="L19" i="28"/>
  <c r="I17" i="28"/>
  <c r="I18" i="28"/>
  <c r="I19" i="28"/>
  <c r="F17" i="28"/>
  <c r="F18" i="28"/>
  <c r="F19" i="28"/>
  <c r="AU80" i="26"/>
  <c r="AL73" i="22"/>
  <c r="AL74" i="22"/>
  <c r="AH72" i="22"/>
  <c r="AC72" i="22"/>
  <c r="AD72" i="22"/>
  <c r="AE72" i="22"/>
  <c r="AB72" i="22"/>
  <c r="Y72" i="22"/>
  <c r="V72" i="22"/>
  <c r="S72" i="22"/>
  <c r="P72" i="22"/>
  <c r="M72" i="22"/>
  <c r="J72" i="22"/>
  <c r="G72" i="22"/>
  <c r="AN64" i="26"/>
  <c r="AH64" i="26"/>
  <c r="AB64" i="26"/>
  <c r="Y64" i="26"/>
  <c r="S64" i="26"/>
  <c r="V64" i="26"/>
  <c r="S72" i="26"/>
  <c r="S88" i="26" s="1"/>
  <c r="P64" i="26"/>
  <c r="M64" i="26"/>
  <c r="J64" i="26"/>
  <c r="G64" i="26"/>
  <c r="AQ5" i="26"/>
  <c r="AQ6" i="26"/>
  <c r="AQ7" i="26"/>
  <c r="AQ8" i="26"/>
  <c r="AQ9" i="26"/>
  <c r="AQ10" i="26"/>
  <c r="AQ11" i="26"/>
  <c r="AQ12" i="26"/>
  <c r="AQ13" i="26"/>
  <c r="AQ14" i="26"/>
  <c r="AQ15" i="26"/>
  <c r="AQ16" i="26"/>
  <c r="AQ17" i="26"/>
  <c r="AQ18" i="26"/>
  <c r="AQ19" i="26"/>
  <c r="AQ20" i="26"/>
  <c r="AQ21" i="26"/>
  <c r="AQ22" i="26"/>
  <c r="AQ26" i="26"/>
  <c r="AQ27" i="26"/>
  <c r="AQ28" i="26"/>
  <c r="AQ29" i="26"/>
  <c r="AQ31" i="26"/>
  <c r="AQ32" i="26"/>
  <c r="AQ33" i="26"/>
  <c r="AQ34" i="26"/>
  <c r="AQ35" i="26"/>
  <c r="AQ36" i="26"/>
  <c r="AQ37" i="26"/>
  <c r="AQ38" i="26"/>
  <c r="AQ40" i="26"/>
  <c r="AQ41" i="26"/>
  <c r="AQ42" i="26"/>
  <c r="AQ43" i="26"/>
  <c r="AQ44" i="26"/>
  <c r="S91" i="26" l="1"/>
  <c r="J86" i="26"/>
  <c r="P86" i="26"/>
  <c r="Y86" i="26"/>
  <c r="AH86" i="26"/>
  <c r="AQ80" i="26"/>
  <c r="P91" i="26"/>
  <c r="Y91" i="26"/>
  <c r="AB91" i="26"/>
  <c r="AE91" i="26"/>
  <c r="AH91" i="26"/>
  <c r="AK91" i="26"/>
  <c r="AQ74" i="26"/>
  <c r="AH84" i="22"/>
  <c r="AU86" i="26"/>
  <c r="AB86" i="26"/>
  <c r="AQ83" i="26"/>
  <c r="G86" i="26"/>
  <c r="S86" i="26"/>
  <c r="AN86" i="26"/>
  <c r="AK86" i="26"/>
  <c r="AE86" i="26"/>
  <c r="V86" i="26"/>
  <c r="G91" i="26"/>
  <c r="AQ73" i="26"/>
  <c r="AQ90" i="26" s="1"/>
  <c r="AL72" i="22"/>
  <c r="P84" i="22"/>
  <c r="M86" i="26"/>
  <c r="V91" i="26"/>
  <c r="AN91" i="26"/>
  <c r="J91" i="26"/>
  <c r="AU91" i="26"/>
  <c r="M72" i="26"/>
  <c r="M88" i="26" s="1"/>
  <c r="M91" i="26" s="1"/>
  <c r="AQ30" i="26"/>
  <c r="AQ72" i="26" s="1"/>
  <c r="AQ88" i="26" l="1"/>
  <c r="AQ64" i="26"/>
  <c r="AU92" i="26" l="1"/>
  <c r="AQ86" i="26"/>
  <c r="AQ91" i="26"/>
  <c r="AM76" i="22" l="1"/>
  <c r="AJ20" i="28"/>
  <c r="X17" i="24"/>
  <c r="X18" i="24"/>
  <c r="X19" i="24"/>
  <c r="AA17" i="24"/>
  <c r="AA18" i="24"/>
  <c r="AA19" i="24"/>
  <c r="AE13" i="24"/>
  <c r="AE5" i="24"/>
  <c r="AE6" i="24"/>
  <c r="AE7" i="24"/>
  <c r="AE8" i="24"/>
  <c r="AE9" i="24"/>
  <c r="AE10" i="24"/>
  <c r="AE11" i="24"/>
  <c r="AE12" i="24"/>
  <c r="AE14" i="24"/>
  <c r="AE15" i="24"/>
  <c r="AE16" i="24"/>
  <c r="AE19" i="24"/>
  <c r="U17" i="24"/>
  <c r="U18" i="24"/>
  <c r="U19" i="24"/>
  <c r="R17" i="24"/>
  <c r="R18" i="24"/>
  <c r="R19" i="24"/>
  <c r="O17" i="24"/>
  <c r="O18" i="24"/>
  <c r="O19" i="24"/>
  <c r="L18" i="24"/>
  <c r="L19" i="24"/>
  <c r="I17" i="24"/>
  <c r="I18" i="24"/>
  <c r="I19" i="24"/>
  <c r="F17" i="24"/>
  <c r="F18" i="24"/>
  <c r="F19" i="24"/>
  <c r="AC62" i="22"/>
  <c r="AC81" i="22" s="1"/>
  <c r="AD62" i="22"/>
  <c r="AD81" i="22" s="1"/>
  <c r="AE62" i="22"/>
  <c r="AE81" i="22" s="1"/>
  <c r="AC64" i="22"/>
  <c r="AC82" i="22" s="1"/>
  <c r="AD64" i="22"/>
  <c r="AD82" i="22" s="1"/>
  <c r="AE64" i="22"/>
  <c r="AE82" i="22" s="1"/>
  <c r="AC61" i="22"/>
  <c r="AC79" i="22" s="1"/>
  <c r="AD61" i="22"/>
  <c r="AD79" i="22" s="1"/>
  <c r="AH61" i="22"/>
  <c r="AH79" i="22" s="1"/>
  <c r="AE61" i="22"/>
  <c r="AE79" i="22" s="1"/>
  <c r="AB61" i="22"/>
  <c r="AB79" i="22" s="1"/>
  <c r="AB62" i="22"/>
  <c r="AB81" i="22" s="1"/>
  <c r="AB64" i="22"/>
  <c r="AB82" i="22" s="1"/>
  <c r="Y61" i="22"/>
  <c r="Y79" i="22" s="1"/>
  <c r="Y62" i="22"/>
  <c r="Y81" i="22" s="1"/>
  <c r="Y64" i="22"/>
  <c r="Y82" i="22" s="1"/>
  <c r="V61" i="22"/>
  <c r="V79" i="22" s="1"/>
  <c r="V62" i="22"/>
  <c r="V81" i="22" s="1"/>
  <c r="V64" i="22"/>
  <c r="V82" i="22" s="1"/>
  <c r="S61" i="22"/>
  <c r="S79" i="22" s="1"/>
  <c r="S62" i="22"/>
  <c r="S81" i="22" s="1"/>
  <c r="S64" i="22"/>
  <c r="S82" i="22" s="1"/>
  <c r="P61" i="22"/>
  <c r="P79" i="22" s="1"/>
  <c r="J79" i="22"/>
  <c r="J62" i="22"/>
  <c r="J81" i="22" s="1"/>
  <c r="J64" i="22"/>
  <c r="J82" i="22" s="1"/>
  <c r="G61" i="22"/>
  <c r="G79" i="22" s="1"/>
  <c r="G62" i="22"/>
  <c r="G64" i="22"/>
  <c r="G82" i="22" s="1"/>
  <c r="AL49" i="22"/>
  <c r="AL40" i="22"/>
  <c r="AL41" i="22"/>
  <c r="AL42" i="22"/>
  <c r="AL44" i="22"/>
  <c r="AL45" i="22"/>
  <c r="AL46" i="22"/>
  <c r="AL47" i="22"/>
  <c r="AL48" i="22"/>
  <c r="AM48" i="22" s="1"/>
  <c r="AL50" i="22"/>
  <c r="AL51" i="22"/>
  <c r="AL59" i="22"/>
  <c r="AL60" i="22"/>
  <c r="AL63" i="22"/>
  <c r="AL83" i="22" s="1"/>
  <c r="AL5" i="22"/>
  <c r="AL6" i="22"/>
  <c r="AL7" i="22"/>
  <c r="AL8" i="22"/>
  <c r="AL9" i="22"/>
  <c r="AL10" i="22"/>
  <c r="AL12" i="22"/>
  <c r="AL13" i="22"/>
  <c r="AL14" i="22"/>
  <c r="AL15" i="22"/>
  <c r="AL16" i="22"/>
  <c r="AL17" i="22"/>
  <c r="AL22" i="22"/>
  <c r="AL23" i="22"/>
  <c r="AL24" i="22"/>
  <c r="AL25" i="22"/>
  <c r="AL26" i="22"/>
  <c r="AL29" i="22"/>
  <c r="AL31" i="22"/>
  <c r="AL32" i="22"/>
  <c r="AL33" i="22"/>
  <c r="AL34" i="22"/>
  <c r="AL35" i="22"/>
  <c r="AL36" i="22"/>
  <c r="AL37" i="22"/>
  <c r="AM37" i="22" s="1"/>
  <c r="M64" i="22"/>
  <c r="M81" i="22"/>
  <c r="AI5" i="28"/>
  <c r="AI6" i="28"/>
  <c r="AI7" i="28"/>
  <c r="AI9" i="28"/>
  <c r="AI10" i="28"/>
  <c r="AI11" i="28"/>
  <c r="AI12" i="28"/>
  <c r="AI18" i="28" s="1"/>
  <c r="AI13" i="28"/>
  <c r="AI14" i="28"/>
  <c r="AI15" i="28"/>
  <c r="AI16" i="28"/>
  <c r="AJ11" i="27"/>
  <c r="AJ15" i="30"/>
  <c r="AJ10" i="29"/>
  <c r="X8" i="25"/>
  <c r="X9" i="25"/>
  <c r="AA5" i="25"/>
  <c r="AA6" i="25"/>
  <c r="AA8" i="25"/>
  <c r="AA9" i="25"/>
  <c r="X7" i="25"/>
  <c r="T7" i="25"/>
  <c r="U7" i="25"/>
  <c r="T8" i="25"/>
  <c r="U8" i="25"/>
  <c r="T9" i="25"/>
  <c r="U9" i="25"/>
  <c r="Q7" i="25"/>
  <c r="R7" i="25"/>
  <c r="Q8" i="25"/>
  <c r="R8" i="25"/>
  <c r="Q9" i="25"/>
  <c r="R9" i="25"/>
  <c r="O7" i="25"/>
  <c r="O8" i="25"/>
  <c r="O9" i="25"/>
  <c r="N7" i="25"/>
  <c r="N8" i="25"/>
  <c r="N9" i="25"/>
  <c r="K7" i="25"/>
  <c r="L7" i="25"/>
  <c r="K8" i="25"/>
  <c r="L8" i="25"/>
  <c r="K9" i="25"/>
  <c r="L9" i="25"/>
  <c r="H7" i="25"/>
  <c r="I7" i="25"/>
  <c r="H8" i="25"/>
  <c r="I8" i="25"/>
  <c r="H9" i="25"/>
  <c r="I9" i="25"/>
  <c r="E7" i="25"/>
  <c r="F7" i="25"/>
  <c r="AA7" i="25" s="1"/>
  <c r="E8" i="25"/>
  <c r="F8" i="25"/>
  <c r="E9" i="25"/>
  <c r="F9" i="25"/>
  <c r="AI5" i="29"/>
  <c r="AI6" i="29"/>
  <c r="AI7" i="29" s="1"/>
  <c r="AI8" i="29"/>
  <c r="AI9" i="29"/>
  <c r="AD7" i="29"/>
  <c r="AD8" i="29"/>
  <c r="AD9" i="29"/>
  <c r="AA7" i="29"/>
  <c r="AA8" i="29"/>
  <c r="AA9" i="29"/>
  <c r="X7" i="29"/>
  <c r="X8" i="29"/>
  <c r="X9" i="29"/>
  <c r="U7" i="29"/>
  <c r="U8" i="29"/>
  <c r="U9" i="29"/>
  <c r="R7" i="29"/>
  <c r="R8" i="29"/>
  <c r="R9" i="29"/>
  <c r="O7" i="29"/>
  <c r="O8" i="29"/>
  <c r="O9" i="29"/>
  <c r="L8" i="29"/>
  <c r="L9" i="29"/>
  <c r="I7" i="29"/>
  <c r="I8" i="29"/>
  <c r="I9" i="29"/>
  <c r="F8" i="29"/>
  <c r="F9" i="29"/>
  <c r="F7" i="29"/>
  <c r="L7" i="29"/>
  <c r="AI19" i="28" l="1"/>
  <c r="J84" i="22"/>
  <c r="S84" i="22"/>
  <c r="Y84" i="22"/>
  <c r="AL62" i="22"/>
  <c r="AL81" i="22" s="1"/>
  <c r="G81" i="22"/>
  <c r="G84" i="22" s="1"/>
  <c r="V84" i="22"/>
  <c r="AB84" i="22"/>
  <c r="AD84" i="22"/>
  <c r="AL64" i="22"/>
  <c r="M82" i="22"/>
  <c r="M84" i="22" s="1"/>
  <c r="AE84" i="22"/>
  <c r="AC84" i="22"/>
  <c r="AE18" i="24"/>
  <c r="AE17" i="24"/>
  <c r="AL30" i="22"/>
  <c r="AL61" i="22" s="1"/>
  <c r="AL79" i="22" s="1"/>
  <c r="M61" i="22"/>
  <c r="M79" i="22" s="1"/>
  <c r="AI17" i="28"/>
  <c r="AI11" i="30"/>
  <c r="AJ11" i="30" s="1"/>
  <c r="AI5" i="30"/>
  <c r="AI6" i="30"/>
  <c r="AI7" i="30"/>
  <c r="AI8" i="30"/>
  <c r="AI9" i="30"/>
  <c r="I12" i="30"/>
  <c r="F12" i="30"/>
  <c r="E12" i="30"/>
  <c r="AD6" i="31"/>
  <c r="AD7" i="31"/>
  <c r="AD8" i="31"/>
  <c r="AD9" i="31"/>
  <c r="AI5" i="27"/>
  <c r="AI7" i="27"/>
  <c r="AI9" i="27"/>
  <c r="AI10" i="27"/>
  <c r="AD8" i="27"/>
  <c r="AD9" i="27"/>
  <c r="AD10" i="27"/>
  <c r="AA8" i="27"/>
  <c r="AA9" i="27"/>
  <c r="AA10" i="27"/>
  <c r="X8" i="27"/>
  <c r="X9" i="27"/>
  <c r="X10" i="27"/>
  <c r="U9" i="27"/>
  <c r="U10" i="27"/>
  <c r="U8" i="27"/>
  <c r="R8" i="27"/>
  <c r="R9" i="27"/>
  <c r="R10" i="27"/>
  <c r="O8" i="27"/>
  <c r="O9" i="27"/>
  <c r="O10" i="27"/>
  <c r="L9" i="27"/>
  <c r="L10" i="27"/>
  <c r="L8" i="27"/>
  <c r="I10" i="27"/>
  <c r="I9" i="27"/>
  <c r="I8" i="27"/>
  <c r="F10" i="27"/>
  <c r="F9" i="27"/>
  <c r="F8" i="27"/>
  <c r="AD5" i="23"/>
  <c r="AD7" i="23"/>
  <c r="AD9" i="23"/>
  <c r="AD10" i="23"/>
  <c r="AC5" i="23"/>
  <c r="AA9" i="23"/>
  <c r="AA10" i="23"/>
  <c r="X9" i="23"/>
  <c r="X10" i="23"/>
  <c r="X8" i="23"/>
  <c r="U8" i="23"/>
  <c r="U9" i="23"/>
  <c r="U10" i="23"/>
  <c r="R8" i="23"/>
  <c r="R9" i="23"/>
  <c r="R10" i="23"/>
  <c r="O8" i="23"/>
  <c r="O9" i="23"/>
  <c r="O10" i="23"/>
  <c r="L8" i="23"/>
  <c r="L9" i="23"/>
  <c r="L10" i="23"/>
  <c r="I9" i="23"/>
  <c r="I10" i="23"/>
  <c r="I8" i="23"/>
  <c r="F10" i="23"/>
  <c r="F9" i="23"/>
  <c r="F8" i="23"/>
  <c r="AA8" i="23"/>
  <c r="AI8" i="27" l="1"/>
  <c r="AD8" i="23"/>
  <c r="AD12" i="31"/>
  <c r="AD13" i="31"/>
  <c r="AI12" i="30"/>
  <c r="AI14" i="30"/>
  <c r="AD14" i="31"/>
  <c r="AE5" i="23"/>
  <c r="AL82" i="22"/>
  <c r="AL84" i="22" s="1"/>
  <c r="AI13" i="30"/>
  <c r="D15" i="7" l="1"/>
  <c r="F15" i="7" s="1"/>
  <c r="F12" i="5"/>
  <c r="E73" i="1"/>
  <c r="AP9" i="26" l="1"/>
  <c r="AR9" i="26" s="1"/>
  <c r="AP10" i="26"/>
  <c r="AR10" i="26" s="1"/>
  <c r="AP11" i="26"/>
  <c r="AR11" i="26" s="1"/>
  <c r="AP12" i="26"/>
  <c r="AR12" i="26" s="1"/>
  <c r="AP13" i="26"/>
  <c r="AR13" i="26" s="1"/>
  <c r="AP14" i="26"/>
  <c r="AR14" i="26" s="1"/>
  <c r="AP15" i="26"/>
  <c r="AR15" i="26" s="1"/>
  <c r="AP16" i="26"/>
  <c r="AR16" i="26" s="1"/>
  <c r="AP17" i="26"/>
  <c r="AR17" i="26" s="1"/>
  <c r="AP19" i="26"/>
  <c r="AR19" i="26" s="1"/>
  <c r="AP20" i="26"/>
  <c r="AR20" i="26" s="1"/>
  <c r="AP21" i="26"/>
  <c r="AR21" i="26" s="1"/>
  <c r="AP22" i="26"/>
  <c r="AR22" i="26" s="1"/>
  <c r="AR34" i="26"/>
  <c r="AR35" i="26"/>
  <c r="AR36" i="26"/>
  <c r="AR37" i="26"/>
  <c r="AR56" i="26"/>
  <c r="AR57" i="26"/>
  <c r="AR58" i="26"/>
  <c r="AR59" i="26"/>
  <c r="AR60" i="26"/>
  <c r="AR61" i="26"/>
  <c r="AR63" i="26"/>
  <c r="AP5" i="26"/>
  <c r="AR5" i="26" s="1"/>
  <c r="AA64" i="26" l="1"/>
  <c r="AR38" i="26"/>
  <c r="AR33" i="26"/>
  <c r="AR32" i="26"/>
  <c r="AR31" i="26"/>
  <c r="AR29" i="26"/>
  <c r="AP8" i="26"/>
  <c r="AR8" i="26" s="1"/>
  <c r="AP18" i="26"/>
  <c r="AR18" i="26" s="1"/>
  <c r="AP7" i="26"/>
  <c r="AR7" i="26" s="1"/>
  <c r="AC6" i="31"/>
  <c r="AC7" i="31"/>
  <c r="AE7" i="31" s="1"/>
  <c r="AC8" i="31"/>
  <c r="AE8" i="31" s="1"/>
  <c r="AC9" i="31"/>
  <c r="AE9" i="31" s="1"/>
  <c r="AH5" i="30"/>
  <c r="AH6" i="30"/>
  <c r="AH7" i="30"/>
  <c r="AJ7" i="30" s="1"/>
  <c r="AH9" i="30"/>
  <c r="AJ9" i="30" s="1"/>
  <c r="AH8" i="30"/>
  <c r="AJ8" i="30" s="1"/>
  <c r="H12" i="30"/>
  <c r="AF5" i="30"/>
  <c r="N83" i="22"/>
  <c r="O83" i="22"/>
  <c r="N82" i="22"/>
  <c r="N81" i="22"/>
  <c r="N75" i="22"/>
  <c r="O75" i="22"/>
  <c r="N72" i="22"/>
  <c r="O72" i="22"/>
  <c r="N69" i="22"/>
  <c r="O69" i="22"/>
  <c r="I65" i="22"/>
  <c r="L65" i="22"/>
  <c r="N65" i="22"/>
  <c r="O65" i="22"/>
  <c r="Q65" i="22"/>
  <c r="R65" i="22"/>
  <c r="T65" i="22"/>
  <c r="U65" i="22"/>
  <c r="W65" i="22"/>
  <c r="X65" i="22"/>
  <c r="Z65" i="22"/>
  <c r="AA65" i="22"/>
  <c r="AK63" i="22"/>
  <c r="AK51" i="22"/>
  <c r="O82" i="22"/>
  <c r="O84" i="22" s="1"/>
  <c r="N61" i="22"/>
  <c r="O61" i="22"/>
  <c r="N84" i="22" l="1"/>
  <c r="AJ13" i="30"/>
  <c r="AJ5" i="30"/>
  <c r="AJ14" i="30"/>
  <c r="AJ6" i="30"/>
  <c r="AE12" i="31"/>
  <c r="AE13" i="31"/>
  <c r="AE5" i="31"/>
  <c r="AE14" i="31"/>
  <c r="AE6" i="31"/>
  <c r="AK83" i="22"/>
  <c r="AM83" i="22" s="1"/>
  <c r="AM63" i="22"/>
  <c r="N79" i="22"/>
  <c r="O79" i="22"/>
  <c r="AJ12" i="30"/>
  <c r="AK50" i="22"/>
  <c r="Z83" i="22"/>
  <c r="AA83" i="22"/>
  <c r="Z75" i="22"/>
  <c r="AA75" i="22"/>
  <c r="Z72" i="22"/>
  <c r="AA72" i="22"/>
  <c r="Z69" i="22"/>
  <c r="AA69" i="22"/>
  <c r="Z64" i="22"/>
  <c r="Z82" i="22" s="1"/>
  <c r="AA64" i="22"/>
  <c r="Z62" i="22"/>
  <c r="Z81" i="22" s="1"/>
  <c r="AA62" i="22"/>
  <c r="AA81" i="22" s="1"/>
  <c r="Z61" i="22"/>
  <c r="Z79" i="22" s="1"/>
  <c r="AA61" i="22"/>
  <c r="AA79" i="22" s="1"/>
  <c r="AR26" i="26"/>
  <c r="Z84" i="22" l="1"/>
  <c r="AA82" i="22"/>
  <c r="AA84" i="22" s="1"/>
  <c r="I15" i="7"/>
  <c r="D16" i="7"/>
  <c r="D16" i="2"/>
  <c r="D20" i="2" s="1"/>
  <c r="I20" i="2"/>
  <c r="I15" i="2"/>
  <c r="D94" i="6"/>
  <c r="D83" i="6"/>
  <c r="D78" i="6"/>
  <c r="D88" i="6" s="1"/>
  <c r="D69" i="6"/>
  <c r="D55" i="6"/>
  <c r="D43" i="6"/>
  <c r="D37" i="6"/>
  <c r="D49" i="6" s="1"/>
  <c r="D24" i="6"/>
  <c r="D20" i="6"/>
  <c r="D16" i="6"/>
  <c r="D9" i="6"/>
  <c r="D83" i="5"/>
  <c r="D78" i="5"/>
  <c r="D88" i="5" s="1"/>
  <c r="D69" i="5"/>
  <c r="F69" i="5" s="1"/>
  <c r="D66" i="5"/>
  <c r="F66" i="5" s="1"/>
  <c r="D60" i="5"/>
  <c r="F60" i="5" s="1"/>
  <c r="D43" i="5"/>
  <c r="D37" i="5"/>
  <c r="D49" i="5" s="1"/>
  <c r="D25" i="5"/>
  <c r="D24" i="5" s="1"/>
  <c r="D20" i="5"/>
  <c r="F20" i="5" s="1"/>
  <c r="F16" i="5"/>
  <c r="D9" i="5"/>
  <c r="D82" i="4"/>
  <c r="F82" i="4" s="1"/>
  <c r="D73" i="4"/>
  <c r="D59" i="4"/>
  <c r="AI63" i="22"/>
  <c r="D20" i="4"/>
  <c r="F20" i="4" s="1"/>
  <c r="D36" i="4"/>
  <c r="D48" i="4" s="1"/>
  <c r="F48" i="4" s="1"/>
  <c r="D32" i="4"/>
  <c r="D25" i="4"/>
  <c r="D16" i="4"/>
  <c r="F16" i="4" s="1"/>
  <c r="D9" i="4"/>
  <c r="F9" i="4" s="1"/>
  <c r="E82" i="1"/>
  <c r="G82" i="1" s="1"/>
  <c r="E77" i="1"/>
  <c r="E68" i="1"/>
  <c r="G68" i="1" s="1"/>
  <c r="E65" i="1"/>
  <c r="G65" i="1" s="1"/>
  <c r="E59" i="1"/>
  <c r="G59" i="1" s="1"/>
  <c r="L83" i="22"/>
  <c r="E36" i="1"/>
  <c r="E48" i="1" s="1"/>
  <c r="G48" i="1" s="1"/>
  <c r="E24" i="1"/>
  <c r="G24" i="1" s="1"/>
  <c r="E20" i="1"/>
  <c r="G20" i="1" s="1"/>
  <c r="E16" i="1"/>
  <c r="G16" i="1" s="1"/>
  <c r="E9" i="1"/>
  <c r="G9" i="1" s="1"/>
  <c r="F25" i="4" l="1"/>
  <c r="D24" i="4"/>
  <c r="F24" i="4" s="1"/>
  <c r="I21" i="7"/>
  <c r="K21" i="7" s="1"/>
  <c r="K15" i="7"/>
  <c r="D20" i="7"/>
  <c r="F16" i="7"/>
  <c r="D36" i="6"/>
  <c r="F9" i="6"/>
  <c r="D77" i="6"/>
  <c r="F55" i="6"/>
  <c r="D87" i="4"/>
  <c r="F87" i="4" s="1"/>
  <c r="D68" i="4"/>
  <c r="F68" i="4" s="1"/>
  <c r="F73" i="4"/>
  <c r="D54" i="4"/>
  <c r="F54" i="4" s="1"/>
  <c r="F59" i="4"/>
  <c r="E87" i="1"/>
  <c r="G87" i="1" s="1"/>
  <c r="D94" i="5"/>
  <c r="F49" i="5"/>
  <c r="D36" i="5"/>
  <c r="F9" i="5"/>
  <c r="E93" i="1"/>
  <c r="D22" i="7"/>
  <c r="I21" i="2"/>
  <c r="D22" i="2"/>
  <c r="D21" i="2"/>
  <c r="D23" i="2" s="1"/>
  <c r="D55" i="5"/>
  <c r="D76" i="4"/>
  <c r="E54" i="1"/>
  <c r="D35" i="4"/>
  <c r="E35" i="1"/>
  <c r="G35" i="1" s="1"/>
  <c r="AK77" i="22"/>
  <c r="AJ83" i="22"/>
  <c r="AG83" i="22"/>
  <c r="X83" i="22"/>
  <c r="U83" i="22"/>
  <c r="R83" i="22"/>
  <c r="I83" i="22"/>
  <c r="F83" i="22"/>
  <c r="AJ77" i="22"/>
  <c r="AJ75" i="22" s="1"/>
  <c r="AI77" i="22"/>
  <c r="AG75" i="22"/>
  <c r="X75" i="22"/>
  <c r="F75" i="22"/>
  <c r="H75" i="22"/>
  <c r="I75" i="22"/>
  <c r="K75" i="22"/>
  <c r="L75" i="22"/>
  <c r="Q75" i="22"/>
  <c r="R75" i="22"/>
  <c r="T75" i="22"/>
  <c r="U75" i="22"/>
  <c r="AT88" i="26"/>
  <c r="AT89" i="26"/>
  <c r="AT90" i="26"/>
  <c r="AM89" i="26"/>
  <c r="AJ89" i="26"/>
  <c r="AG89" i="26"/>
  <c r="AD89" i="26"/>
  <c r="AA89" i="26"/>
  <c r="X89" i="26"/>
  <c r="U89" i="26"/>
  <c r="R89" i="26"/>
  <c r="O89" i="26"/>
  <c r="L89" i="26"/>
  <c r="I89" i="26"/>
  <c r="AM72" i="26"/>
  <c r="AM88" i="26" s="1"/>
  <c r="AM73" i="26"/>
  <c r="AM90" i="26" s="1"/>
  <c r="AJ72" i="26"/>
  <c r="AJ88" i="26" s="1"/>
  <c r="AG72" i="26"/>
  <c r="AG88" i="26" s="1"/>
  <c r="AG73" i="26"/>
  <c r="AG90" i="26" s="1"/>
  <c r="AD73" i="26"/>
  <c r="AD90" i="26" s="1"/>
  <c r="AA72" i="26"/>
  <c r="AA88" i="26" s="1"/>
  <c r="AA73" i="26"/>
  <c r="AA90" i="26" s="1"/>
  <c r="X72" i="26"/>
  <c r="X88" i="26" s="1"/>
  <c r="X73" i="26"/>
  <c r="X90" i="26" s="1"/>
  <c r="U72" i="26"/>
  <c r="U88" i="26" s="1"/>
  <c r="U73" i="26"/>
  <c r="U90" i="26" s="1"/>
  <c r="R73" i="26"/>
  <c r="R90" i="26" s="1"/>
  <c r="O72" i="26"/>
  <c r="O88" i="26" s="1"/>
  <c r="O73" i="26"/>
  <c r="O90" i="26" s="1"/>
  <c r="L72" i="26"/>
  <c r="L88" i="26" s="1"/>
  <c r="L73" i="26"/>
  <c r="L90" i="26" s="1"/>
  <c r="I73" i="26"/>
  <c r="I90" i="26" s="1"/>
  <c r="F73" i="26"/>
  <c r="F90" i="26" s="1"/>
  <c r="F89" i="26"/>
  <c r="AT83" i="26"/>
  <c r="AP85" i="26"/>
  <c r="AR85" i="26" s="1"/>
  <c r="AO85" i="26"/>
  <c r="O83" i="26"/>
  <c r="Q83" i="26"/>
  <c r="R83" i="26"/>
  <c r="T83" i="26"/>
  <c r="U83" i="26"/>
  <c r="W83" i="26"/>
  <c r="X83" i="26"/>
  <c r="Z83" i="26"/>
  <c r="AA83" i="26"/>
  <c r="AC83" i="26"/>
  <c r="AD83" i="26"/>
  <c r="AF83" i="26"/>
  <c r="AG83" i="26"/>
  <c r="AI83" i="26"/>
  <c r="AJ83" i="26"/>
  <c r="AL83" i="26"/>
  <c r="AM83" i="26"/>
  <c r="L83" i="26"/>
  <c r="F83" i="26"/>
  <c r="AP84" i="26"/>
  <c r="AT80" i="26"/>
  <c r="AP82" i="26"/>
  <c r="AR82" i="26" s="1"/>
  <c r="AP81" i="26"/>
  <c r="AR81" i="26" s="1"/>
  <c r="AO82" i="26"/>
  <c r="AO81" i="26"/>
  <c r="AD80" i="26"/>
  <c r="X80" i="26"/>
  <c r="U80" i="26"/>
  <c r="R80" i="26"/>
  <c r="O80" i="26"/>
  <c r="L80" i="26"/>
  <c r="I80" i="26"/>
  <c r="F80" i="26"/>
  <c r="AP79" i="26"/>
  <c r="AR79" i="26" s="1"/>
  <c r="AO79" i="26"/>
  <c r="AP78" i="26"/>
  <c r="Q77" i="26"/>
  <c r="R77" i="26"/>
  <c r="T77" i="26"/>
  <c r="U77" i="26"/>
  <c r="W77" i="26"/>
  <c r="X77" i="26"/>
  <c r="Z77" i="26"/>
  <c r="AA77" i="26"/>
  <c r="AD77" i="26"/>
  <c r="AF77" i="26"/>
  <c r="AG77" i="26"/>
  <c r="AI77" i="26"/>
  <c r="AJ77" i="26"/>
  <c r="AL77" i="26"/>
  <c r="AM77" i="26"/>
  <c r="O77" i="26"/>
  <c r="L77" i="26"/>
  <c r="I77" i="26"/>
  <c r="F77" i="26"/>
  <c r="AT74" i="26"/>
  <c r="AP75" i="26"/>
  <c r="AP76" i="26"/>
  <c r="AR76" i="26" s="1"/>
  <c r="AD74" i="26"/>
  <c r="X74" i="26"/>
  <c r="U74" i="26"/>
  <c r="R74" i="26"/>
  <c r="O74" i="26"/>
  <c r="L74" i="26"/>
  <c r="AO76" i="26"/>
  <c r="AO75" i="26"/>
  <c r="I74" i="26"/>
  <c r="F74" i="26"/>
  <c r="AK74" i="22"/>
  <c r="AM74" i="22" s="1"/>
  <c r="AK73" i="22"/>
  <c r="AJ74" i="22"/>
  <c r="AJ73" i="22"/>
  <c r="X72" i="22"/>
  <c r="U72" i="22"/>
  <c r="R72" i="22"/>
  <c r="L72" i="22"/>
  <c r="I72" i="22"/>
  <c r="F72" i="22"/>
  <c r="AG72" i="22"/>
  <c r="AM77" i="22" l="1"/>
  <c r="AK75" i="22"/>
  <c r="AJ72" i="22"/>
  <c r="D93" i="4"/>
  <c r="D21" i="7"/>
  <c r="F20" i="7"/>
  <c r="D50" i="6"/>
  <c r="F50" i="6" s="1"/>
  <c r="F36" i="6"/>
  <c r="D89" i="6"/>
  <c r="F89" i="6" s="1"/>
  <c r="F77" i="6"/>
  <c r="D93" i="6"/>
  <c r="D77" i="5"/>
  <c r="F55" i="5"/>
  <c r="D88" i="4"/>
  <c r="F88" i="4" s="1"/>
  <c r="F76" i="4"/>
  <c r="D49" i="4"/>
  <c r="F49" i="4" s="1"/>
  <c r="F35" i="4"/>
  <c r="E76" i="1"/>
  <c r="E92" i="1" s="1"/>
  <c r="G54" i="1"/>
  <c r="AM75" i="22"/>
  <c r="AK72" i="22"/>
  <c r="AM72" i="22" s="1"/>
  <c r="AM73" i="22"/>
  <c r="D50" i="5"/>
  <c r="F50" i="5" s="1"/>
  <c r="F36" i="5"/>
  <c r="AP77" i="26"/>
  <c r="AR77" i="26" s="1"/>
  <c r="AR78" i="26"/>
  <c r="AP83" i="26"/>
  <c r="AR83" i="26" s="1"/>
  <c r="AR84" i="26"/>
  <c r="AP89" i="26"/>
  <c r="AR89" i="26" s="1"/>
  <c r="AP74" i="26"/>
  <c r="AR74" i="26" s="1"/>
  <c r="AR75" i="26"/>
  <c r="AM91" i="26"/>
  <c r="E49" i="1"/>
  <c r="G49" i="1" s="1"/>
  <c r="AT91" i="26"/>
  <c r="AP80" i="26"/>
  <c r="AR80" i="26" s="1"/>
  <c r="O91" i="26"/>
  <c r="AG91" i="26"/>
  <c r="L91" i="26"/>
  <c r="D92" i="4"/>
  <c r="AI75" i="22"/>
  <c r="U91" i="26"/>
  <c r="X91" i="26"/>
  <c r="AA91" i="26"/>
  <c r="I83" i="26"/>
  <c r="AO74" i="26"/>
  <c r="AJ69" i="22"/>
  <c r="AK69" i="22"/>
  <c r="AG69" i="22"/>
  <c r="X69" i="22"/>
  <c r="U69" i="22"/>
  <c r="R69" i="22"/>
  <c r="L69" i="22"/>
  <c r="I69" i="22"/>
  <c r="AK66" i="22"/>
  <c r="AJ66" i="22"/>
  <c r="AJ65" i="22" s="1"/>
  <c r="F65" i="22"/>
  <c r="F69" i="22"/>
  <c r="AG65" i="22"/>
  <c r="AF19" i="28"/>
  <c r="AG19" i="28"/>
  <c r="AF18" i="28"/>
  <c r="AG18" i="28"/>
  <c r="AF17" i="28"/>
  <c r="AG17" i="28"/>
  <c r="AH6" i="28"/>
  <c r="AJ6" i="28" s="1"/>
  <c r="AH7" i="28"/>
  <c r="AJ7" i="28" s="1"/>
  <c r="AH8" i="28"/>
  <c r="AJ8" i="28" s="1"/>
  <c r="AH9" i="28"/>
  <c r="AJ9" i="28" s="1"/>
  <c r="AH10" i="28"/>
  <c r="AJ10" i="28" s="1"/>
  <c r="AH11" i="28"/>
  <c r="AJ11" i="28" s="1"/>
  <c r="AH12" i="28"/>
  <c r="AJ12" i="28" s="1"/>
  <c r="AH13" i="28"/>
  <c r="AJ13" i="28" s="1"/>
  <c r="AH14" i="28"/>
  <c r="AJ14" i="28" s="1"/>
  <c r="AH15" i="28"/>
  <c r="AJ15" i="28" s="1"/>
  <c r="AH16" i="28"/>
  <c r="AJ16" i="28" s="1"/>
  <c r="AH5" i="28"/>
  <c r="AJ5" i="28" s="1"/>
  <c r="H17" i="28"/>
  <c r="AC17" i="28"/>
  <c r="AC18" i="28"/>
  <c r="AC19" i="28"/>
  <c r="Z17" i="28"/>
  <c r="Z18" i="28"/>
  <c r="Z19" i="28"/>
  <c r="W17" i="28"/>
  <c r="W18" i="28"/>
  <c r="W19" i="28"/>
  <c r="T17" i="28"/>
  <c r="T18" i="28"/>
  <c r="T19" i="28"/>
  <c r="Q17" i="28"/>
  <c r="Q18" i="28"/>
  <c r="Q19" i="28"/>
  <c r="N17" i="28"/>
  <c r="N18" i="28"/>
  <c r="N19" i="28"/>
  <c r="K17" i="28"/>
  <c r="K18" i="28"/>
  <c r="K19" i="28"/>
  <c r="H18" i="28"/>
  <c r="H19" i="28"/>
  <c r="E18" i="28"/>
  <c r="E19" i="28"/>
  <c r="AD6" i="24"/>
  <c r="AF6" i="24" s="1"/>
  <c r="AD7" i="24"/>
  <c r="AF7" i="24" s="1"/>
  <c r="AD8" i="24"/>
  <c r="AF8" i="24" s="1"/>
  <c r="AD9" i="24"/>
  <c r="AF9" i="24" s="1"/>
  <c r="AD10" i="24"/>
  <c r="AD11" i="24"/>
  <c r="AF11" i="24" s="1"/>
  <c r="AD12" i="24"/>
  <c r="AF12" i="24" s="1"/>
  <c r="AD13" i="24"/>
  <c r="AF13" i="24" s="1"/>
  <c r="AD14" i="24"/>
  <c r="AF14" i="24" s="1"/>
  <c r="AD15" i="24"/>
  <c r="AF15" i="24" s="1"/>
  <c r="AD16" i="24"/>
  <c r="AF16" i="24" s="1"/>
  <c r="AD5" i="24"/>
  <c r="AF5" i="24" s="1"/>
  <c r="AC10" i="24"/>
  <c r="AC19" i="24" s="1"/>
  <c r="AB10" i="24"/>
  <c r="AC5" i="24"/>
  <c r="AC18" i="24" s="1"/>
  <c r="Y19" i="24"/>
  <c r="Z19" i="24"/>
  <c r="Y18" i="24"/>
  <c r="Z18" i="24"/>
  <c r="Y17" i="24"/>
  <c r="Z17" i="24"/>
  <c r="AH19" i="28" l="1"/>
  <c r="AJ19" i="28" s="1"/>
  <c r="F21" i="7"/>
  <c r="D23" i="7"/>
  <c r="I23" i="7"/>
  <c r="D89" i="5"/>
  <c r="F89" i="5" s="1"/>
  <c r="F77" i="5"/>
  <c r="D93" i="5"/>
  <c r="E88" i="1"/>
  <c r="G88" i="1" s="1"/>
  <c r="G76" i="1"/>
  <c r="AK65" i="22"/>
  <c r="AM65" i="22" s="1"/>
  <c r="AM66" i="22"/>
  <c r="AD19" i="24"/>
  <c r="AF19" i="24" s="1"/>
  <c r="AF10" i="24"/>
  <c r="AD18" i="24"/>
  <c r="AF18" i="24" s="1"/>
  <c r="AD17" i="24"/>
  <c r="AF17" i="24" s="1"/>
  <c r="AC17" i="24"/>
  <c r="AH17" i="28"/>
  <c r="AJ17" i="28" s="1"/>
  <c r="AH18" i="28"/>
  <c r="AJ18" i="28" s="1"/>
  <c r="E17" i="28"/>
  <c r="W17" i="24"/>
  <c r="W18" i="24"/>
  <c r="W19" i="24"/>
  <c r="T17" i="24"/>
  <c r="T18" i="24"/>
  <c r="T19" i="24"/>
  <c r="Q17" i="24"/>
  <c r="Q18" i="24"/>
  <c r="Q19" i="24"/>
  <c r="N17" i="24"/>
  <c r="N18" i="24"/>
  <c r="N19" i="24"/>
  <c r="K17" i="24"/>
  <c r="K18" i="24"/>
  <c r="K19" i="24"/>
  <c r="H17" i="24"/>
  <c r="H18" i="24"/>
  <c r="H19" i="24"/>
  <c r="E17" i="24"/>
  <c r="E18" i="24"/>
  <c r="E19" i="24"/>
  <c r="AH7" i="27" l="1"/>
  <c r="AH9" i="27" s="1"/>
  <c r="AJ9" i="27" s="1"/>
  <c r="AH5" i="27"/>
  <c r="AJ5" i="27" s="1"/>
  <c r="AF5" i="27"/>
  <c r="AF10" i="27" s="1"/>
  <c r="AF7" i="27"/>
  <c r="AF9" i="27"/>
  <c r="AH10" i="27"/>
  <c r="AJ10" i="27" s="1"/>
  <c r="AC8" i="27"/>
  <c r="AC9" i="27"/>
  <c r="AC10" i="27"/>
  <c r="Z8" i="27"/>
  <c r="Z9" i="27"/>
  <c r="Z10" i="27"/>
  <c r="W8" i="27"/>
  <c r="W9" i="27"/>
  <c r="W10" i="27"/>
  <c r="T8" i="27"/>
  <c r="T9" i="27"/>
  <c r="T10" i="27"/>
  <c r="Q8" i="27"/>
  <c r="Q9" i="27"/>
  <c r="Q10" i="27"/>
  <c r="N8" i="27"/>
  <c r="N9" i="27"/>
  <c r="N10" i="27"/>
  <c r="K8" i="27"/>
  <c r="K9" i="27"/>
  <c r="K10" i="27"/>
  <c r="H8" i="27"/>
  <c r="H9" i="27"/>
  <c r="H10" i="27"/>
  <c r="E10" i="27"/>
  <c r="E9" i="27"/>
  <c r="E8" i="27"/>
  <c r="AF8" i="27" l="1"/>
  <c r="AH8" i="27"/>
  <c r="AJ8" i="27" s="1"/>
  <c r="AJ7" i="27"/>
  <c r="AC10" i="23"/>
  <c r="AE10" i="23" s="1"/>
  <c r="AB5" i="23"/>
  <c r="Y10" i="23"/>
  <c r="Z10" i="23"/>
  <c r="Y9" i="23"/>
  <c r="Z9" i="23"/>
  <c r="Y8" i="23"/>
  <c r="Z8" i="23"/>
  <c r="W8" i="23"/>
  <c r="W9" i="23"/>
  <c r="W10" i="23"/>
  <c r="T8" i="23"/>
  <c r="T9" i="23"/>
  <c r="T10" i="23"/>
  <c r="Q8" i="23"/>
  <c r="Q9" i="23"/>
  <c r="Q10" i="23"/>
  <c r="N8" i="23"/>
  <c r="N9" i="23"/>
  <c r="N10" i="23"/>
  <c r="K8" i="23"/>
  <c r="K9" i="23"/>
  <c r="K10" i="23"/>
  <c r="H8" i="23"/>
  <c r="H9" i="23"/>
  <c r="H10" i="23"/>
  <c r="E8" i="23"/>
  <c r="E9" i="23"/>
  <c r="E10" i="23"/>
  <c r="AH6" i="29"/>
  <c r="AJ6" i="29" s="1"/>
  <c r="AH5" i="29"/>
  <c r="AJ5" i="29" s="1"/>
  <c r="AF6" i="29"/>
  <c r="AF9" i="29" s="1"/>
  <c r="AG6" i="29"/>
  <c r="AE6" i="29"/>
  <c r="AF5" i="29"/>
  <c r="AG5" i="29"/>
  <c r="AG7" i="29" s="1"/>
  <c r="AF8" i="29"/>
  <c r="AH8" i="29"/>
  <c r="AJ8" i="29" s="1"/>
  <c r="AG9" i="29"/>
  <c r="AH9" i="29"/>
  <c r="AJ9" i="29" s="1"/>
  <c r="AC7" i="29"/>
  <c r="AC8" i="29"/>
  <c r="AC9" i="29"/>
  <c r="Z7" i="29"/>
  <c r="Z8" i="29"/>
  <c r="Z9" i="29"/>
  <c r="W7" i="29"/>
  <c r="W8" i="29"/>
  <c r="W9" i="29"/>
  <c r="T7" i="29"/>
  <c r="T8" i="29"/>
  <c r="T9" i="29"/>
  <c r="Q7" i="29"/>
  <c r="Q8" i="29"/>
  <c r="Q9" i="29"/>
  <c r="N7" i="29"/>
  <c r="N8" i="29"/>
  <c r="N9" i="29"/>
  <c r="K7" i="29"/>
  <c r="K8" i="29"/>
  <c r="K9" i="29"/>
  <c r="H9" i="29"/>
  <c r="H8" i="29"/>
  <c r="E9" i="29"/>
  <c r="E8" i="29"/>
  <c r="H7" i="29"/>
  <c r="E7" i="29"/>
  <c r="Z9" i="25"/>
  <c r="AB9" i="25" s="1"/>
  <c r="Z6" i="25"/>
  <c r="AB6" i="25" s="1"/>
  <c r="Z5" i="25"/>
  <c r="W9" i="25"/>
  <c r="W8" i="25"/>
  <c r="W7" i="25"/>
  <c r="Z7" i="25" s="1"/>
  <c r="AB7" i="25" s="1"/>
  <c r="AK6" i="22"/>
  <c r="AM6" i="22" s="1"/>
  <c r="AK7" i="22"/>
  <c r="AM7" i="22" s="1"/>
  <c r="AK8" i="22"/>
  <c r="AM8" i="22" s="1"/>
  <c r="AK9" i="22"/>
  <c r="AM9" i="22" s="1"/>
  <c r="AK10" i="22"/>
  <c r="AM10" i="22" s="1"/>
  <c r="AK5" i="22"/>
  <c r="AK13" i="22"/>
  <c r="AM13" i="22" s="1"/>
  <c r="AK14" i="22"/>
  <c r="AM14" i="22" s="1"/>
  <c r="AK15" i="22"/>
  <c r="AM15" i="22" s="1"/>
  <c r="AK16" i="22"/>
  <c r="AK17" i="22"/>
  <c r="AK21" i="22"/>
  <c r="AM21" i="22" s="1"/>
  <c r="AK22" i="22"/>
  <c r="AM22" i="22" s="1"/>
  <c r="AK23" i="22"/>
  <c r="AM23" i="22" s="1"/>
  <c r="AK24" i="22"/>
  <c r="AM24" i="22" s="1"/>
  <c r="AK25" i="22"/>
  <c r="AM25" i="22" s="1"/>
  <c r="AK26" i="22"/>
  <c r="AM26" i="22" s="1"/>
  <c r="AK29" i="22"/>
  <c r="AK30" i="22"/>
  <c r="AM30" i="22" s="1"/>
  <c r="AK31" i="22"/>
  <c r="AM31" i="22" s="1"/>
  <c r="AK34" i="22"/>
  <c r="AM34" i="22" s="1"/>
  <c r="AK35" i="22"/>
  <c r="AM35" i="22" s="1"/>
  <c r="AK36" i="22"/>
  <c r="AM36" i="22" s="1"/>
  <c r="AK41" i="22"/>
  <c r="AM41" i="22" s="1"/>
  <c r="AK42" i="22"/>
  <c r="AM42" i="22" s="1"/>
  <c r="AK44" i="22"/>
  <c r="AK45" i="22"/>
  <c r="AK46" i="22"/>
  <c r="AK47" i="22"/>
  <c r="AK48" i="22"/>
  <c r="AK59" i="22"/>
  <c r="AM59" i="22" s="1"/>
  <c r="AK60" i="22"/>
  <c r="AM60" i="22" s="1"/>
  <c r="AK12" i="22"/>
  <c r="AM12" i="22" s="1"/>
  <c r="AJ5" i="22"/>
  <c r="AI5" i="22"/>
  <c r="AJ6" i="22"/>
  <c r="AJ7" i="22"/>
  <c r="AJ8" i="22"/>
  <c r="AJ9" i="22"/>
  <c r="AJ10" i="22"/>
  <c r="AJ12" i="22"/>
  <c r="AJ13" i="22"/>
  <c r="AJ14" i="22"/>
  <c r="AJ15" i="22"/>
  <c r="AJ16" i="22"/>
  <c r="AJ17" i="22"/>
  <c r="AJ21" i="22"/>
  <c r="AJ22" i="22"/>
  <c r="AJ23" i="22"/>
  <c r="AJ24" i="22"/>
  <c r="AJ25" i="22"/>
  <c r="AJ26" i="22"/>
  <c r="AJ29" i="22"/>
  <c r="AJ30" i="22"/>
  <c r="AJ31" i="22"/>
  <c r="AJ34" i="22"/>
  <c r="AJ35" i="22"/>
  <c r="AJ36" i="22"/>
  <c r="AJ37" i="22"/>
  <c r="AJ38" i="22"/>
  <c r="AJ41" i="22"/>
  <c r="AJ42" i="22"/>
  <c r="AJ44" i="22"/>
  <c r="AJ45" i="22"/>
  <c r="AJ46" i="22"/>
  <c r="AJ47" i="22"/>
  <c r="AJ48" i="22"/>
  <c r="AJ59" i="22"/>
  <c r="AJ60" i="22"/>
  <c r="AG82" i="22"/>
  <c r="AF62" i="22"/>
  <c r="X62" i="22"/>
  <c r="X64" i="22"/>
  <c r="X61" i="22"/>
  <c r="X79" i="22" s="1"/>
  <c r="U61" i="22"/>
  <c r="U79" i="22" s="1"/>
  <c r="U62" i="22"/>
  <c r="U81" i="22" s="1"/>
  <c r="U64" i="22"/>
  <c r="U82" i="22" s="1"/>
  <c r="R64" i="22"/>
  <c r="R82" i="22" s="1"/>
  <c r="AK32" i="22"/>
  <c r="AM32" i="22" s="1"/>
  <c r="AK33" i="22"/>
  <c r="AM33" i="22" s="1"/>
  <c r="L81" i="22"/>
  <c r="L64" i="22"/>
  <c r="L82" i="22" s="1"/>
  <c r="I64" i="22"/>
  <c r="I82" i="22" s="1"/>
  <c r="I62" i="22"/>
  <c r="F64" i="22"/>
  <c r="AK64" i="22" s="1"/>
  <c r="F62" i="22"/>
  <c r="L61" i="22"/>
  <c r="L79" i="22" s="1"/>
  <c r="I61" i="22"/>
  <c r="I79" i="22" s="1"/>
  <c r="F61" i="22"/>
  <c r="F79" i="22" s="1"/>
  <c r="AA86" i="26"/>
  <c r="X64" i="26"/>
  <c r="X86" i="26" s="1"/>
  <c r="U64" i="26"/>
  <c r="U86" i="26" s="1"/>
  <c r="O64" i="26"/>
  <c r="O86" i="26" s="1"/>
  <c r="L86" i="26"/>
  <c r="AM64" i="26"/>
  <c r="AM86" i="26" s="1"/>
  <c r="AG64" i="26"/>
  <c r="AG86" i="26" s="1"/>
  <c r="AD72" i="26"/>
  <c r="AD88" i="26" s="1"/>
  <c r="AD91" i="26" s="1"/>
  <c r="R72" i="26"/>
  <c r="R88" i="26" s="1"/>
  <c r="R91" i="26" s="1"/>
  <c r="Z8" i="25" l="1"/>
  <c r="AB8" i="25" s="1"/>
  <c r="AB5" i="25"/>
  <c r="AM5" i="22"/>
  <c r="F81" i="22"/>
  <c r="AC9" i="23"/>
  <c r="AE9" i="23" s="1"/>
  <c r="AE7" i="23"/>
  <c r="AG8" i="29"/>
  <c r="AF7" i="29"/>
  <c r="U84" i="22"/>
  <c r="R61" i="22"/>
  <c r="R79" i="22" s="1"/>
  <c r="R62" i="22"/>
  <c r="R81" i="22" s="1"/>
  <c r="R84" i="22" s="1"/>
  <c r="AJ32" i="22"/>
  <c r="AJ33" i="22"/>
  <c r="AJ64" i="22"/>
  <c r="AJ82" i="22" s="1"/>
  <c r="AC8" i="23"/>
  <c r="AE8" i="23" s="1"/>
  <c r="L84" i="22"/>
  <c r="X82" i="22"/>
  <c r="X81" i="22"/>
  <c r="F82" i="22"/>
  <c r="F84" i="22" s="1"/>
  <c r="I81" i="22"/>
  <c r="I84" i="22" s="1"/>
  <c r="AD64" i="26"/>
  <c r="AD86" i="26" s="1"/>
  <c r="R64" i="26"/>
  <c r="R86" i="26" s="1"/>
  <c r="AH7" i="29"/>
  <c r="AJ7" i="29" s="1"/>
  <c r="AR30" i="26"/>
  <c r="AP28" i="26"/>
  <c r="AR28" i="26" s="1"/>
  <c r="AP27" i="26"/>
  <c r="AR27" i="26" s="1"/>
  <c r="AK82" i="22" l="1"/>
  <c r="AM82" i="22" s="1"/>
  <c r="AM64" i="22"/>
  <c r="AK62" i="22"/>
  <c r="F64" i="26"/>
  <c r="F86" i="26" s="1"/>
  <c r="AP6" i="26"/>
  <c r="AK40" i="22"/>
  <c r="AJ40" i="22"/>
  <c r="AJ61" i="22" s="1"/>
  <c r="AJ79" i="22" s="1"/>
  <c r="AG81" i="22"/>
  <c r="AG84" i="22" s="1"/>
  <c r="X84" i="22"/>
  <c r="F72" i="26"/>
  <c r="F88" i="26" s="1"/>
  <c r="F91" i="26" s="1"/>
  <c r="I72" i="26"/>
  <c r="I88" i="26" s="1"/>
  <c r="I91" i="26" s="1"/>
  <c r="I64" i="26"/>
  <c r="I86" i="26" s="1"/>
  <c r="AG61" i="22"/>
  <c r="AG79" i="22" s="1"/>
  <c r="AK81" i="22" l="1"/>
  <c r="AM62" i="22"/>
  <c r="AM40" i="22"/>
  <c r="AK61" i="22"/>
  <c r="AK79" i="22" s="1"/>
  <c r="AM79" i="22" s="1"/>
  <c r="AR6" i="26"/>
  <c r="AP64" i="26"/>
  <c r="AJ62" i="22"/>
  <c r="AJ81" i="22" s="1"/>
  <c r="AJ84" i="22" s="1"/>
  <c r="AP72" i="26"/>
  <c r="AM61" i="22" l="1"/>
  <c r="AK84" i="22"/>
  <c r="AM84" i="22" s="1"/>
  <c r="AM81" i="22"/>
  <c r="AP88" i="26"/>
  <c r="AR88" i="26" s="1"/>
  <c r="AR72" i="26"/>
  <c r="AT92" i="26"/>
  <c r="AR64" i="26"/>
  <c r="C15" i="2" l="1"/>
  <c r="C16" i="7"/>
  <c r="C16" i="2"/>
  <c r="C20" i="2" s="1"/>
  <c r="AJ64" i="26" l="1"/>
  <c r="AJ86" i="26" s="1"/>
  <c r="AJ73" i="26"/>
  <c r="AJ90" i="26" s="1"/>
  <c r="AJ91" i="26" s="1"/>
  <c r="C60" i="5"/>
  <c r="C66" i="5"/>
  <c r="AF81" i="22"/>
  <c r="AF82" i="22"/>
  <c r="C9" i="4"/>
  <c r="C82" i="4"/>
  <c r="C77" i="4"/>
  <c r="C73" i="4"/>
  <c r="C68" i="4" s="1"/>
  <c r="C65" i="4"/>
  <c r="C36" i="4"/>
  <c r="C25" i="4"/>
  <c r="C24" i="4" s="1"/>
  <c r="C20" i="4"/>
  <c r="C16" i="4"/>
  <c r="D65" i="1"/>
  <c r="D16" i="1"/>
  <c r="C54" i="4" l="1"/>
  <c r="C76" i="4" s="1"/>
  <c r="C88" i="4" s="1"/>
  <c r="C87" i="4"/>
  <c r="AP73" i="26"/>
  <c r="C55" i="5"/>
  <c r="AI83" i="22"/>
  <c r="K83" i="22"/>
  <c r="K81" i="22"/>
  <c r="H62" i="22"/>
  <c r="E70" i="26"/>
  <c r="AO84" i="26"/>
  <c r="AE5" i="30"/>
  <c r="AE12" i="30" s="1"/>
  <c r="AT77" i="26"/>
  <c r="AT86" i="26" s="1"/>
  <c r="AP90" i="26" l="1"/>
  <c r="AR73" i="26"/>
  <c r="AG5" i="30"/>
  <c r="AG12" i="30" s="1"/>
  <c r="AP86" i="26"/>
  <c r="AR86" i="26" s="1"/>
  <c r="AO78" i="26"/>
  <c r="AC77" i="26"/>
  <c r="H8" i="18"/>
  <c r="AP91" i="26" l="1"/>
  <c r="AR91" i="26" s="1"/>
  <c r="AR90" i="26"/>
  <c r="G10" i="23" l="1"/>
  <c r="J10" i="23"/>
  <c r="M10" i="23"/>
  <c r="P10" i="23"/>
  <c r="S10" i="23"/>
  <c r="V10" i="23"/>
  <c r="D10" i="23"/>
  <c r="AS88" i="26"/>
  <c r="H83" i="26"/>
  <c r="K83" i="26"/>
  <c r="N83" i="26"/>
  <c r="AS83" i="26"/>
  <c r="E83" i="26"/>
  <c r="H83" i="22"/>
  <c r="Q83" i="22"/>
  <c r="T83" i="22"/>
  <c r="W83" i="22"/>
  <c r="AF83" i="22"/>
  <c r="E83" i="22"/>
  <c r="W75" i="22"/>
  <c r="AF75" i="22"/>
  <c r="E75" i="22"/>
  <c r="H65" i="22"/>
  <c r="K65" i="22"/>
  <c r="AF65" i="22"/>
  <c r="E65" i="22"/>
  <c r="D12" i="30"/>
  <c r="AB9" i="31"/>
  <c r="AB8" i="31"/>
  <c r="AB7" i="31"/>
  <c r="AB6" i="31"/>
  <c r="AB5" i="31"/>
  <c r="G12" i="30"/>
  <c r="AE9" i="30"/>
  <c r="AE8" i="30"/>
  <c r="AE7" i="30"/>
  <c r="AE6" i="30"/>
  <c r="H44" i="18"/>
  <c r="AO83" i="26" l="1"/>
  <c r="AI47" i="22"/>
  <c r="AI48" i="22"/>
  <c r="AI44" i="22"/>
  <c r="AI45" i="22"/>
  <c r="AI46" i="22"/>
  <c r="AI42" i="22" l="1"/>
  <c r="AI41" i="22" l="1"/>
  <c r="AI40" i="22"/>
  <c r="W90" i="22"/>
  <c r="Z73" i="26" l="1"/>
  <c r="Z90" i="26" s="1"/>
  <c r="Z72" i="26"/>
  <c r="Z88" i="26" s="1"/>
  <c r="Z64" i="26"/>
  <c r="Z86" i="26" s="1"/>
  <c r="H32" i="18"/>
  <c r="AO22" i="26" l="1"/>
  <c r="AO5" i="26" l="1"/>
  <c r="AO6" i="26"/>
  <c r="AI22" i="22" l="1"/>
  <c r="AI16" i="22"/>
  <c r="H20" i="2" l="1"/>
  <c r="C20" i="7"/>
  <c r="H15" i="7"/>
  <c r="H21" i="7" s="1"/>
  <c r="C22" i="7" l="1"/>
  <c r="C21" i="7"/>
  <c r="H15" i="2"/>
  <c r="H21" i="2" s="1"/>
  <c r="C32" i="4"/>
  <c r="C34" i="4"/>
  <c r="C45" i="4"/>
  <c r="C46" i="4"/>
  <c r="C47" i="4"/>
  <c r="C25" i="5"/>
  <c r="C94" i="6"/>
  <c r="C35" i="4" l="1"/>
  <c r="C22" i="2"/>
  <c r="C21" i="2"/>
  <c r="C23" i="2" s="1"/>
  <c r="C48" i="4"/>
  <c r="H23" i="7"/>
  <c r="C23" i="7"/>
  <c r="H89" i="26"/>
  <c r="K89" i="26"/>
  <c r="N89" i="26"/>
  <c r="Q89" i="26"/>
  <c r="T89" i="26"/>
  <c r="W89" i="26"/>
  <c r="Z89" i="26"/>
  <c r="Z91" i="26" s="1"/>
  <c r="AC89" i="26"/>
  <c r="AF89" i="26"/>
  <c r="AI89" i="26"/>
  <c r="AL89" i="26"/>
  <c r="C49" i="4" l="1"/>
  <c r="D24" i="1"/>
  <c r="H29" i="18" l="1"/>
  <c r="H31" i="18"/>
  <c r="AO31" i="26" l="1"/>
  <c r="AO8" i="26"/>
  <c r="AO7" i="26"/>
  <c r="AS89" i="26" l="1"/>
  <c r="J10" i="27"/>
  <c r="M10" i="27"/>
  <c r="P10" i="27"/>
  <c r="S10" i="27"/>
  <c r="V10" i="27"/>
  <c r="Y10" i="27"/>
  <c r="AB10" i="27"/>
  <c r="G10" i="27"/>
  <c r="D10" i="27"/>
  <c r="AO15" i="26"/>
  <c r="E89" i="26"/>
  <c r="H54" i="18"/>
  <c r="H49" i="18"/>
  <c r="H42" i="18"/>
  <c r="H41" i="18"/>
  <c r="H38" i="18"/>
  <c r="H37" i="18"/>
  <c r="H36" i="18"/>
  <c r="H35" i="18"/>
  <c r="H34" i="18"/>
  <c r="H33" i="18"/>
  <c r="H61" i="18" l="1"/>
  <c r="H63" i="18"/>
  <c r="H60" i="18"/>
  <c r="AI25" i="22" l="1"/>
  <c r="AB9" i="29" l="1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7" i="29"/>
  <c r="Y7" i="29"/>
  <c r="V7" i="29"/>
  <c r="S7" i="29"/>
  <c r="P7" i="29"/>
  <c r="M7" i="29"/>
  <c r="J7" i="29"/>
  <c r="G7" i="29"/>
  <c r="D7" i="29"/>
  <c r="AE9" i="29"/>
  <c r="AE5" i="29"/>
  <c r="AE8" i="29" s="1"/>
  <c r="AB19" i="28"/>
  <c r="Y19" i="28"/>
  <c r="V19" i="28"/>
  <c r="S19" i="28"/>
  <c r="P19" i="28"/>
  <c r="M19" i="28"/>
  <c r="G19" i="28"/>
  <c r="D19" i="28"/>
  <c r="AB18" i="28"/>
  <c r="Y18" i="28"/>
  <c r="V18" i="28"/>
  <c r="S18" i="28"/>
  <c r="P18" i="28"/>
  <c r="M18" i="28"/>
  <c r="J18" i="28"/>
  <c r="G18" i="28"/>
  <c r="D18" i="28"/>
  <c r="AB17" i="28"/>
  <c r="Y17" i="28"/>
  <c r="V17" i="28"/>
  <c r="S17" i="28"/>
  <c r="P17" i="28"/>
  <c r="M17" i="28"/>
  <c r="G17" i="28"/>
  <c r="D17" i="28"/>
  <c r="AE16" i="28"/>
  <c r="AE15" i="28"/>
  <c r="AE14" i="28"/>
  <c r="AE13" i="28"/>
  <c r="AE12" i="28"/>
  <c r="AE11" i="28"/>
  <c r="AG10" i="28"/>
  <c r="AE10" i="28"/>
  <c r="AE9" i="28"/>
  <c r="AE8" i="28"/>
  <c r="AE7" i="28"/>
  <c r="AE6" i="28"/>
  <c r="AE5" i="28"/>
  <c r="AB9" i="27"/>
  <c r="Y9" i="27"/>
  <c r="V9" i="27"/>
  <c r="S9" i="27"/>
  <c r="P9" i="27"/>
  <c r="M9" i="27"/>
  <c r="J9" i="27"/>
  <c r="G9" i="27"/>
  <c r="AB8" i="27"/>
  <c r="Y8" i="27"/>
  <c r="V8" i="27"/>
  <c r="S8" i="27"/>
  <c r="P8" i="27"/>
  <c r="M8" i="27"/>
  <c r="J8" i="27"/>
  <c r="G8" i="27"/>
  <c r="AE7" i="27"/>
  <c r="AG7" i="27" s="1"/>
  <c r="D9" i="27"/>
  <c r="AS80" i="26"/>
  <c r="AL80" i="26"/>
  <c r="AI80" i="26"/>
  <c r="AF80" i="26"/>
  <c r="AC80" i="26"/>
  <c r="W80" i="26"/>
  <c r="T80" i="26"/>
  <c r="Q80" i="26"/>
  <c r="N80" i="26"/>
  <c r="K80" i="26"/>
  <c r="H80" i="26"/>
  <c r="E80" i="26"/>
  <c r="AS77" i="26"/>
  <c r="N77" i="26"/>
  <c r="K77" i="26"/>
  <c r="H77" i="26"/>
  <c r="E77" i="26"/>
  <c r="AO89" i="26"/>
  <c r="AS74" i="26"/>
  <c r="AL74" i="26"/>
  <c r="AI74" i="26"/>
  <c r="AF74" i="26"/>
  <c r="AC74" i="26"/>
  <c r="W74" i="26"/>
  <c r="T74" i="26"/>
  <c r="Q74" i="26"/>
  <c r="N74" i="26"/>
  <c r="K74" i="26"/>
  <c r="H74" i="26"/>
  <c r="AS73" i="26"/>
  <c r="AS90" i="26" s="1"/>
  <c r="AL73" i="26"/>
  <c r="AL90" i="26" s="1"/>
  <c r="AF73" i="26"/>
  <c r="AF90" i="26" s="1"/>
  <c r="W73" i="26"/>
  <c r="W90" i="26" s="1"/>
  <c r="T73" i="26"/>
  <c r="T90" i="26" s="1"/>
  <c r="N73" i="26"/>
  <c r="N90" i="26" s="1"/>
  <c r="K73" i="26"/>
  <c r="K90" i="26" s="1"/>
  <c r="H73" i="26"/>
  <c r="H90" i="26" s="1"/>
  <c r="E73" i="26"/>
  <c r="E90" i="26" s="1"/>
  <c r="AL72" i="26"/>
  <c r="AL88" i="26" s="1"/>
  <c r="AI72" i="26"/>
  <c r="AI88" i="26" s="1"/>
  <c r="AF72" i="26"/>
  <c r="AF88" i="26" s="1"/>
  <c r="W72" i="26"/>
  <c r="W88" i="26" s="1"/>
  <c r="T72" i="26"/>
  <c r="T88" i="26" s="1"/>
  <c r="K72" i="26"/>
  <c r="K88" i="26" s="1"/>
  <c r="H72" i="26"/>
  <c r="H88" i="26" s="1"/>
  <c r="E72" i="26"/>
  <c r="E88" i="26" s="1"/>
  <c r="AS64" i="26"/>
  <c r="AL64" i="26"/>
  <c r="AI64" i="26"/>
  <c r="AI86" i="26" s="1"/>
  <c r="AF64" i="26"/>
  <c r="AC64" i="26"/>
  <c r="AC86" i="26" s="1"/>
  <c r="W64" i="26"/>
  <c r="T64" i="26"/>
  <c r="T86" i="26" s="1"/>
  <c r="N64" i="26"/>
  <c r="H64" i="26"/>
  <c r="E64" i="26"/>
  <c r="N72" i="26"/>
  <c r="N88" i="26" s="1"/>
  <c r="AO38" i="26"/>
  <c r="AO37" i="26"/>
  <c r="AO36" i="26"/>
  <c r="AZ35" i="26"/>
  <c r="Q72" i="26"/>
  <c r="Q88" i="26" s="1"/>
  <c r="AO34" i="26"/>
  <c r="AO33" i="26"/>
  <c r="AO32" i="26"/>
  <c r="AO30" i="26"/>
  <c r="Q73" i="26"/>
  <c r="Q90" i="26" s="1"/>
  <c r="AO29" i="26"/>
  <c r="AO28" i="26"/>
  <c r="AO27" i="26"/>
  <c r="AO26" i="26"/>
  <c r="AO21" i="26"/>
  <c r="AO20" i="26"/>
  <c r="AO19" i="26"/>
  <c r="AO18" i="26"/>
  <c r="AO17" i="26"/>
  <c r="AO16" i="26"/>
  <c r="AO14" i="26"/>
  <c r="AI73" i="26"/>
  <c r="AI90" i="26" s="1"/>
  <c r="AO13" i="26"/>
  <c r="AO12" i="26"/>
  <c r="AO11" i="26"/>
  <c r="AC73" i="26"/>
  <c r="AC90" i="26" s="1"/>
  <c r="AO10" i="26"/>
  <c r="K64" i="26"/>
  <c r="AO9" i="26"/>
  <c r="AC72" i="26"/>
  <c r="AC88" i="26" s="1"/>
  <c r="V9" i="25"/>
  <c r="S9" i="25"/>
  <c r="P9" i="25"/>
  <c r="M9" i="25"/>
  <c r="J9" i="25"/>
  <c r="G9" i="25"/>
  <c r="D9" i="25"/>
  <c r="V8" i="25"/>
  <c r="S8" i="25"/>
  <c r="P8" i="25"/>
  <c r="M8" i="25"/>
  <c r="J8" i="25"/>
  <c r="G8" i="25"/>
  <c r="D8" i="25"/>
  <c r="V7" i="25"/>
  <c r="S7" i="25"/>
  <c r="P7" i="25"/>
  <c r="M7" i="25"/>
  <c r="J7" i="25"/>
  <c r="G7" i="25"/>
  <c r="D7" i="25"/>
  <c r="Y6" i="25"/>
  <c r="Y9" i="25" s="1"/>
  <c r="Y5" i="25"/>
  <c r="Y8" i="25" s="1"/>
  <c r="S19" i="24"/>
  <c r="P19" i="24"/>
  <c r="M19" i="24"/>
  <c r="J19" i="24"/>
  <c r="G19" i="24"/>
  <c r="D19" i="24"/>
  <c r="S18" i="24"/>
  <c r="P18" i="24"/>
  <c r="M18" i="24"/>
  <c r="J18" i="24"/>
  <c r="G18" i="24"/>
  <c r="D18" i="24"/>
  <c r="S17" i="24"/>
  <c r="P17" i="24"/>
  <c r="M17" i="24"/>
  <c r="J17" i="24"/>
  <c r="G17" i="24"/>
  <c r="D17" i="24"/>
  <c r="AB16" i="24"/>
  <c r="AB15" i="24"/>
  <c r="AB14" i="24"/>
  <c r="AB13" i="24"/>
  <c r="AB12" i="24"/>
  <c r="AB11" i="24"/>
  <c r="V18" i="24"/>
  <c r="AB9" i="24"/>
  <c r="AB8" i="24"/>
  <c r="AB7" i="24"/>
  <c r="AB19" i="24" s="1"/>
  <c r="V19" i="24"/>
  <c r="AB6" i="24"/>
  <c r="AB5" i="24"/>
  <c r="S9" i="23"/>
  <c r="P9" i="23"/>
  <c r="M9" i="23"/>
  <c r="J9" i="23"/>
  <c r="G9" i="23"/>
  <c r="D9" i="23"/>
  <c r="S8" i="23"/>
  <c r="P8" i="23"/>
  <c r="M8" i="23"/>
  <c r="J8" i="23"/>
  <c r="G8" i="23"/>
  <c r="D8" i="23"/>
  <c r="V9" i="23"/>
  <c r="AB10" i="23"/>
  <c r="K86" i="26" l="1"/>
  <c r="AG9" i="27"/>
  <c r="N86" i="26"/>
  <c r="W86" i="26"/>
  <c r="AF86" i="26"/>
  <c r="AL86" i="26"/>
  <c r="Y7" i="25"/>
  <c r="AS86" i="26"/>
  <c r="H86" i="26"/>
  <c r="E86" i="26"/>
  <c r="H91" i="26"/>
  <c r="AS91" i="26"/>
  <c r="AE18" i="28"/>
  <c r="AO77" i="26"/>
  <c r="K91" i="26"/>
  <c r="AO80" i="26"/>
  <c r="N91" i="26"/>
  <c r="AL91" i="26"/>
  <c r="AC91" i="26"/>
  <c r="E91" i="26"/>
  <c r="Q91" i="26"/>
  <c r="W91" i="26"/>
  <c r="AB18" i="24"/>
  <c r="AE7" i="29"/>
  <c r="AE19" i="28"/>
  <c r="J17" i="28"/>
  <c r="J19" i="28"/>
  <c r="AE17" i="28"/>
  <c r="AE5" i="27"/>
  <c r="D8" i="27"/>
  <c r="T91" i="26"/>
  <c r="AF91" i="26"/>
  <c r="AI91" i="26"/>
  <c r="AO35" i="26"/>
  <c r="AO64" i="26" s="1"/>
  <c r="Q64" i="26"/>
  <c r="Q86" i="26" s="1"/>
  <c r="V17" i="24"/>
  <c r="AB17" i="24"/>
  <c r="AB7" i="23"/>
  <c r="AB9" i="23" s="1"/>
  <c r="V8" i="23"/>
  <c r="AE10" i="27" l="1"/>
  <c r="AG5" i="27"/>
  <c r="AS92" i="26"/>
  <c r="AO86" i="26"/>
  <c r="AB8" i="23"/>
  <c r="AO72" i="26"/>
  <c r="AO88" i="26" s="1"/>
  <c r="AO73" i="26"/>
  <c r="AO90" i="26" s="1"/>
  <c r="AE9" i="27"/>
  <c r="AE8" i="27"/>
  <c r="AG10" i="27" l="1"/>
  <c r="AG8" i="27"/>
  <c r="AO91" i="26"/>
  <c r="AI72" i="22"/>
  <c r="AF72" i="22"/>
  <c r="W72" i="22"/>
  <c r="T72" i="22"/>
  <c r="Q72" i="22"/>
  <c r="K72" i="22"/>
  <c r="H72" i="22"/>
  <c r="E72" i="22"/>
  <c r="AI69" i="22"/>
  <c r="AF69" i="22"/>
  <c r="W69" i="22"/>
  <c r="T69" i="22"/>
  <c r="Q69" i="22"/>
  <c r="K69" i="22"/>
  <c r="H69" i="22"/>
  <c r="E69" i="22"/>
  <c r="AI66" i="22"/>
  <c r="AI65" i="22" s="1"/>
  <c r="W64" i="22"/>
  <c r="W82" i="22" s="1"/>
  <c r="T64" i="22"/>
  <c r="T82" i="22" s="1"/>
  <c r="Q64" i="22"/>
  <c r="Q82" i="22" s="1"/>
  <c r="K64" i="22"/>
  <c r="K82" i="22" s="1"/>
  <c r="K84" i="22" s="1"/>
  <c r="H64" i="22"/>
  <c r="H82" i="22" s="1"/>
  <c r="W62" i="22"/>
  <c r="T62" i="22"/>
  <c r="Q62" i="22"/>
  <c r="E62" i="22"/>
  <c r="AF61" i="22"/>
  <c r="W61" i="22"/>
  <c r="T61" i="22"/>
  <c r="Q61" i="22"/>
  <c r="K61" i="22"/>
  <c r="E61" i="22"/>
  <c r="AI60" i="22"/>
  <c r="AI38" i="22"/>
  <c r="AI37" i="22"/>
  <c r="AI36" i="22"/>
  <c r="E64" i="22"/>
  <c r="AI64" i="22" s="1"/>
  <c r="AI35" i="22"/>
  <c r="AI34" i="22"/>
  <c r="AI33" i="22"/>
  <c r="AI32" i="22"/>
  <c r="AI31" i="22"/>
  <c r="AI30" i="22"/>
  <c r="AI29" i="22"/>
  <c r="AI26" i="22"/>
  <c r="AI24" i="22"/>
  <c r="AI23" i="22"/>
  <c r="AI21" i="22"/>
  <c r="AI17" i="22"/>
  <c r="AI15" i="22"/>
  <c r="AI14" i="22"/>
  <c r="AI13" i="22"/>
  <c r="AI12" i="22"/>
  <c r="AI10" i="22"/>
  <c r="AI9" i="22"/>
  <c r="AI8" i="22"/>
  <c r="AI7" i="22"/>
  <c r="AI6" i="22"/>
  <c r="AI61" i="22" l="1"/>
  <c r="AI79" i="22" s="1"/>
  <c r="W79" i="22"/>
  <c r="K79" i="22"/>
  <c r="AF79" i="22"/>
  <c r="Q79" i="22"/>
  <c r="T79" i="22"/>
  <c r="E81" i="22"/>
  <c r="AI62" i="22"/>
  <c r="AI81" i="22" s="1"/>
  <c r="E82" i="22"/>
  <c r="AI82" i="22"/>
  <c r="E79" i="22"/>
  <c r="H81" i="22"/>
  <c r="H84" i="22" s="1"/>
  <c r="T81" i="22"/>
  <c r="T84" i="22" s="1"/>
  <c r="W81" i="22"/>
  <c r="W84" i="22" s="1"/>
  <c r="AF84" i="22"/>
  <c r="Q81" i="22"/>
  <c r="Q84" i="22" s="1"/>
  <c r="H61" i="22"/>
  <c r="H79" i="22" s="1"/>
  <c r="E84" i="22" l="1"/>
  <c r="AI84" i="22"/>
  <c r="C83" i="6"/>
  <c r="C78" i="6"/>
  <c r="C88" i="6" s="1"/>
  <c r="C69" i="6"/>
  <c r="C55" i="6"/>
  <c r="C77" i="6" s="1"/>
  <c r="C89" i="6" s="1"/>
  <c r="C43" i="6"/>
  <c r="C37" i="6"/>
  <c r="C49" i="6" s="1"/>
  <c r="C24" i="6"/>
  <c r="C20" i="6"/>
  <c r="C16" i="6"/>
  <c r="C9" i="6"/>
  <c r="C36" i="6" s="1"/>
  <c r="C83" i="5"/>
  <c r="C78" i="5"/>
  <c r="C69" i="5"/>
  <c r="C43" i="5"/>
  <c r="C37" i="5"/>
  <c r="C49" i="5" s="1"/>
  <c r="C24" i="5"/>
  <c r="C20" i="5"/>
  <c r="C9" i="5"/>
  <c r="D82" i="1"/>
  <c r="D77" i="1"/>
  <c r="D68" i="1"/>
  <c r="D54" i="1"/>
  <c r="D42" i="1"/>
  <c r="D36" i="1"/>
  <c r="D20" i="1"/>
  <c r="D9" i="1"/>
  <c r="D35" i="1" l="1"/>
  <c r="C94" i="5"/>
  <c r="C88" i="5"/>
  <c r="C77" i="5"/>
  <c r="C89" i="5" s="1"/>
  <c r="D76" i="1"/>
  <c r="C50" i="6"/>
  <c r="C93" i="6"/>
  <c r="D48" i="1"/>
  <c r="C36" i="5"/>
  <c r="D87" i="1"/>
  <c r="C50" i="5" l="1"/>
  <c r="C93" i="5"/>
  <c r="C92" i="4"/>
  <c r="D88" i="1"/>
  <c r="D93" i="1"/>
  <c r="C93" i="4"/>
  <c r="D49" i="1"/>
  <c r="D92" i="1"/>
</calcChain>
</file>

<file path=xl/sharedStrings.xml><?xml version="1.0" encoding="utf-8"?>
<sst xmlns="http://schemas.openxmlformats.org/spreadsheetml/2006/main" count="1883" uniqueCount="561">
  <si>
    <t>Medgyesegyháza Városi Önkormányzat</t>
  </si>
  <si>
    <t>BEVÉTELEK</t>
  </si>
  <si>
    <t>Bevételi jogcímek</t>
  </si>
  <si>
    <t>1.</t>
  </si>
  <si>
    <t>Sor-
szám</t>
  </si>
  <si>
    <t>2.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</si>
  <si>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</si>
  <si>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</si>
  <si>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</si>
  <si>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</si>
  <si>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</si>
  <si>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</si>
  <si>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</si>
  <si>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</si>
  <si>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</si>
  <si>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</t>
  </si>
  <si>
    <t>Önkormányzatok működési támogatásai (1.1+……+1.6.)</t>
  </si>
  <si>
    <t>3.1.</t>
  </si>
  <si>
    <t>3.2.</t>
  </si>
  <si>
    <t>3.3.</t>
  </si>
  <si>
    <t>4.</t>
  </si>
  <si>
    <t>Közhatalmi bevételek (4.1+4.2.+4.3.+4.4.)</t>
  </si>
  <si>
    <t>4.1.</t>
  </si>
  <si>
    <t>4.1.1.</t>
  </si>
  <si>
    <t>4.1.2.</t>
  </si>
  <si>
    <t>4.1.3.</t>
  </si>
  <si>
    <t>4.2.</t>
  </si>
  <si>
    <t>4.3.</t>
  </si>
  <si>
    <t>4.4.</t>
  </si>
  <si>
    <t>5.</t>
  </si>
  <si>
    <t>Helyi önkormányzatok működésének általános támogatása</t>
  </si>
  <si>
    <t>Önkormányzatok egyes köznevelési feladatainak támogatása</t>
  </si>
  <si>
    <t>Önkormányzatok szociális és gyermjóléti feladatainak támogatása</t>
  </si>
  <si>
    <t>Önkormányzatok kulturális feladatainak támogatása</t>
  </si>
  <si>
    <t>Működési célú költségvetési támogatások és kiegészítő támogatások</t>
  </si>
  <si>
    <t>Elszámolásból származő bevételek</t>
  </si>
  <si>
    <t>Elvonások és befizetések bevételei</t>
  </si>
  <si>
    <t>Egyéb működési célú támogatások bevételei</t>
  </si>
  <si>
    <t>2.2.-ből EU-s támogatás</t>
  </si>
  <si>
    <t>Működési célú támogatások ÁHT-n belülről (2.1+2.2.)</t>
  </si>
  <si>
    <t>Felhalmozási célú önkormányzati támogatások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</si>
  <si>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</si>
  <si>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</si>
  <si>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</si>
  <si>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</si>
  <si>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Vagyoni típusú adók</t>
  </si>
  <si>
    <t>Termékek és szolgáltatások adói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</si>
  <si>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</si>
  <si>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</si>
  <si>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</si>
  <si>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</si>
  <si>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</si>
  <si>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</si>
  <si>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</si>
  <si>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</si>
  <si>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Működési célő átvett pénzeszközök</t>
  </si>
  <si>
    <t>8.</t>
  </si>
  <si>
    <t>Felhalmozási célú átvett pénzeszközök</t>
  </si>
  <si>
    <t>9.</t>
  </si>
  <si>
    <t>10.</t>
  </si>
  <si>
    <t>Hitel-, kölcsönfelévtel államháztartáson kívülről (10.1+…+10.3</t>
  </si>
  <si>
    <t>10.1.</t>
  </si>
  <si>
    <t>Hosszú lejűratú hitelek, kölcsönök felvétele</t>
  </si>
  <si>
    <t>10.2.</t>
  </si>
  <si>
    <t>Likviditási célú hitelek, kölcsönök felvétele pénzügyi vállalkozástól</t>
  </si>
  <si>
    <t>10.3.</t>
  </si>
  <si>
    <t>Rövid lejáratú hitelek, kölcsönök felvétele</t>
  </si>
  <si>
    <t>11.</t>
  </si>
  <si>
    <t>Belföldi értékpapírok bevételei</t>
  </si>
  <si>
    <t>12.</t>
  </si>
  <si>
    <t>Előző évi költségvetési maradvány igánybe vétele</t>
  </si>
  <si>
    <t>13.</t>
  </si>
  <si>
    <t>Belföldi finanszírozás bevételei (13.1.+13.2.)</t>
  </si>
  <si>
    <t>13.1.</t>
  </si>
  <si>
    <t>Államháztartáson belüli megelőlegezések</t>
  </si>
  <si>
    <t>13.2.</t>
  </si>
  <si>
    <t>Államháztartáson belüli megelőlegezések törlesztése</t>
  </si>
  <si>
    <t>14.</t>
  </si>
  <si>
    <t>Külföldi finanszírozás bevételei</t>
  </si>
  <si>
    <t>15.</t>
  </si>
  <si>
    <t>Váltóbevételek</t>
  </si>
  <si>
    <t xml:space="preserve">16. 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</si>
  <si>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</si>
  <si>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</si>
  <si>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</si>
  <si>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</si>
  <si>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</si>
  <si>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1.  számú táblázat</t>
  </si>
  <si>
    <t>KIADÁSOK</t>
  </si>
  <si>
    <t>2. számú táblázat</t>
  </si>
  <si>
    <t>Kiadási jogcímek</t>
  </si>
  <si>
    <t>Személyi juttatások</t>
  </si>
  <si>
    <t>Munkaadókat terhelő járulékok és szochó</t>
  </si>
  <si>
    <t>Dologi kiadások</t>
  </si>
  <si>
    <t>Ellátottak pénzbeli juttatásai</t>
  </si>
  <si>
    <t>Egyéb működési célú kiadások</t>
  </si>
  <si>
    <t>1.5.-ből Előző évi elszámolásből származó befizetések</t>
  </si>
  <si>
    <t>1.7.</t>
  </si>
  <si>
    <t>1.8.</t>
  </si>
  <si>
    <t>1.9.</t>
  </si>
  <si>
    <t>1.10.</t>
  </si>
  <si>
    <t>1.11.</t>
  </si>
  <si>
    <t>Tartalékok</t>
  </si>
  <si>
    <t xml:space="preserve">             Törvényi előírásokon alapuló befizetések</t>
  </si>
  <si>
    <t>1.12.</t>
  </si>
  <si>
    <t>1.11.-ből: Általános tartalék</t>
  </si>
  <si>
    <t>1.13.</t>
  </si>
  <si>
    <t xml:space="preserve">                 Céltartalék</t>
  </si>
  <si>
    <t>Működési költségvetés kiadásai (1.1.+…+1.5.+1.11.)</t>
  </si>
  <si>
    <t>Beruházások</t>
  </si>
  <si>
    <t>2.2</t>
  </si>
  <si>
    <t>2.1.-ből EU-s forrásból megvalósuló beruházás</t>
  </si>
  <si>
    <t>Felújítások</t>
  </si>
  <si>
    <t>2.4.</t>
  </si>
  <si>
    <t>2.3.-ból EU-s forrásból megvalósuló felújítás</t>
  </si>
  <si>
    <t>2.5.</t>
  </si>
  <si>
    <t>Egyéb felhalmozási kiadások</t>
  </si>
  <si>
    <t>2.6.</t>
  </si>
  <si>
    <t>2.5.-ből Egyéb felhalmozási kiadás ÁHT-n belülre</t>
  </si>
  <si>
    <t>2.7.</t>
  </si>
  <si>
    <t xml:space="preserve">              Egyéb felhalmozási kiadás ÁHT-n kívülre</t>
  </si>
  <si>
    <t>Felhalmozási költségvetési kiadások (2.1.+2.3.+2.5.)</t>
  </si>
  <si>
    <t>KÖLTSÉGVETÉSI KIADÁSOK ÖSSZESEN: (1.+2.)</t>
  </si>
  <si>
    <t>Hosszú lejáratú hitelek, kölcsönök törlesztése pü vállalkozásoknak</t>
  </si>
  <si>
    <t>Likviditási célú hitelek, kölcsönök törlesztése pü vállalkozásoknak</t>
  </si>
  <si>
    <t>Rövid lejáratú hitelek, kölcsönök törlesztése pü vállalkozásoknak</t>
  </si>
  <si>
    <t>Hitel-, kölcsöntörlesztés államháztartáson kívülre (4.1.+…+4.3.)</t>
  </si>
  <si>
    <t>Belföldi értékpapírok vásárlásai</t>
  </si>
  <si>
    <t>6.1.</t>
  </si>
  <si>
    <t>Államháztartáson belüli megelőlegezések visszafizetése</t>
  </si>
  <si>
    <t>Belföldi finanszírozás kiadásai (=6.1.)</t>
  </si>
  <si>
    <t>Külföldi finanszírozás kiadásai</t>
  </si>
  <si>
    <t>Adóssághoz nem kapcsolódó származékos  ügyletek</t>
  </si>
  <si>
    <t xml:space="preserve">9. </t>
  </si>
  <si>
    <t>Váltókiadások</t>
  </si>
  <si>
    <t>FINANSZÍROZÁSI KIADÁSOK ÖSSZESEN: (4.+…+9.)</t>
  </si>
  <si>
    <t>KIADÁSOK ÖSSZESEN: (3+10)</t>
  </si>
  <si>
    <t>KÖLTSÉGVETÉSI BEVÉTELEK ÖSSZESEN: (1+…+8)</t>
  </si>
  <si>
    <t xml:space="preserve">             Elvonások befizetések</t>
  </si>
  <si>
    <t xml:space="preserve">             Egyéb működési célú támogatások ÁHT-n belülre</t>
  </si>
  <si>
    <t xml:space="preserve">             Egyéb működési célú támogatások ÁHT-n kívülre</t>
  </si>
  <si>
    <t>KÖLTSÉGVETÉSI, FINANSZÍROZOZÁSI BEVÉTELEK ÉS KIADÁSOK EGYENLEGE</t>
  </si>
  <si>
    <t>3. számú táblázat</t>
  </si>
  <si>
    <t>Költségvetési hiány, többlet (költségvetési bevételek 9. sor -
 költségvetési kiadások 3. sor) (+/-)</t>
  </si>
  <si>
    <t>Finanszírozási bevételek kiadások egyenlege (finanszírozási bevételek 17. sor - finanszírozási kiadások 10. sor) (+/-)</t>
  </si>
  <si>
    <t>I. Működési bevételek és kiadások mérlege</t>
  </si>
  <si>
    <t>(önkormányzati szinten)</t>
  </si>
  <si>
    <t>Bevétel</t>
  </si>
  <si>
    <t>Kiadás</t>
  </si>
  <si>
    <t>A</t>
  </si>
  <si>
    <t>C</t>
  </si>
  <si>
    <t>D</t>
  </si>
  <si>
    <t>E</t>
  </si>
  <si>
    <t>Önkormányzatok működési támogatásai</t>
  </si>
  <si>
    <t>Működési célú támogatások ÁHT-n belülről</t>
  </si>
  <si>
    <t>Munkaadókat terhelő járulékok és SZOCHÓ</t>
  </si>
  <si>
    <t>16.</t>
  </si>
  <si>
    <t>2.-ből EU-s támogatás</t>
  </si>
  <si>
    <t>Dologi Kiadások</t>
  </si>
  <si>
    <t>Közhatalmi bevételek</t>
  </si>
  <si>
    <t>Működési bevételek</t>
  </si>
  <si>
    <t>Működési célú átvett pénzeszközök</t>
  </si>
  <si>
    <t>6.-ból EU-s támogatás (közvetlen)</t>
  </si>
  <si>
    <t>Költségvetési bevételek összesen: (1.+…+6.)</t>
  </si>
  <si>
    <t>Költségvetési kiadások összesen: (1.+…+6)</t>
  </si>
  <si>
    <t>Költségvetési maradvány igénybe vétele</t>
  </si>
  <si>
    <t>Likviditási célú hitelek, kölcsönök felvétele</t>
  </si>
  <si>
    <t>Hiány belső finanszírozásának bevételei (=10)</t>
  </si>
  <si>
    <t>Hiány külső finanszírozásának bevételei (=12)</t>
  </si>
  <si>
    <t>Működési célú finanszírozási bevételek összesen: (9.+11.)</t>
  </si>
  <si>
    <t>BEVÉTELEK ÖSSZESEN: (8.+13.)</t>
  </si>
  <si>
    <t>Likviditási célú hitelek törlesztése</t>
  </si>
  <si>
    <t>B</t>
  </si>
  <si>
    <t>KIADÁSOK ÖSSZESEN: (8.+13.)</t>
  </si>
  <si>
    <t>Költségvetési többlet:</t>
  </si>
  <si>
    <t>Költségvetési hiány:</t>
  </si>
  <si>
    <t>Tárgyévi hiány:</t>
  </si>
  <si>
    <t>Tárgyévi többlet:</t>
  </si>
  <si>
    <t>I .Felhalmozási célú bevételek és kiadások mérlege</t>
  </si>
  <si>
    <t xml:space="preserve">Felhalmozási célú támogatások ÁHT-n belülről </t>
  </si>
  <si>
    <t>1.-ből EU-s támogatás</t>
  </si>
  <si>
    <t>Felhalmozási célú átvett pénzeszközök átvétele</t>
  </si>
  <si>
    <t xml:space="preserve">4.-ből EU-s támogatás </t>
  </si>
  <si>
    <t>3.-ból EU-s forrásból megvalósuló felújítás</t>
  </si>
  <si>
    <t>Költségvetési bevételek összesen: (1.+3.+4.+6.)</t>
  </si>
  <si>
    <t>Hitelek, kölcsönök felvétele</t>
  </si>
  <si>
    <t>Hitelek törlesztése</t>
  </si>
  <si>
    <t>Felhalmozási célú finanszírozási bevételek összesen: (9.+11.)</t>
  </si>
  <si>
    <t>Felhalmozási célú finanszírozási kiadások összesen: (9.+…+12)</t>
  </si>
  <si>
    <t>Megnevezés</t>
  </si>
  <si>
    <t>F</t>
  </si>
  <si>
    <t>Beruházási (felhalmozási) kiadások előírányzata beruházásonként</t>
  </si>
  <si>
    <t>Beruházás megnevezése</t>
  </si>
  <si>
    <t>Teljes költség</t>
  </si>
  <si>
    <t>Kivitelezés kezdési 
és befejezési éve</t>
  </si>
  <si>
    <t>Összesen:</t>
  </si>
  <si>
    <t>Felújítási kiadások előírányzata felújításonként</t>
  </si>
  <si>
    <t>Felújítás megnevezése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</si>
  <si>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</si>
  <si>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</si>
  <si>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</si>
  <si>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</si>
  <si>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</si>
  <si>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</si>
  <si>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</si>
  <si>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</si>
  <si>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</si>
  <si>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</si>
  <si>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</si>
  <si>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</si>
  <si>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2014. évi teljesítés</t>
  </si>
  <si>
    <t>kötelező</t>
  </si>
  <si>
    <t>Iparűzési adó</t>
  </si>
  <si>
    <t>Termőföld bérbeadás</t>
  </si>
  <si>
    <t>Gépjárműadó 40 %</t>
  </si>
  <si>
    <t>Talajterhelési díj</t>
  </si>
  <si>
    <t>Idegenforgalmi adó</t>
  </si>
  <si>
    <t>nem kötelező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</si>
  <si>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</si>
  <si>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</si>
  <si>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</si>
  <si>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</si>
  <si>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Nem közművel összegyűjtött háztartási szennyvíz ártalmatlanítása</t>
  </si>
  <si>
    <t>Üdülőhelyi feladatok támogatása</t>
  </si>
  <si>
    <t>Óvodaműködtetési támogatás</t>
  </si>
  <si>
    <t>Települési önkormányzatok szociális feladatainak egyéb támogatása</t>
  </si>
  <si>
    <t>Gyermekétkeztetés támogatása</t>
  </si>
  <si>
    <t>Egyes szociális és gyermekjóléti feladatok támogatása</t>
  </si>
  <si>
    <t>A települési önkormányzatok szociáis szakosított ellátási feladatok tám.</t>
  </si>
  <si>
    <t>Települési önkormányzatok kulturális feladatainak támogatása</t>
  </si>
  <si>
    <t>Pénzeszköz átvétel munkaügyi Központtól START programra (értékteremtő)</t>
  </si>
  <si>
    <t>Pénzeszköz átvétel munkaügyi Központtól hosszabb távú közfoglalkoztatásra</t>
  </si>
  <si>
    <t>Pénzeszköz átvétel OEP-től</t>
  </si>
  <si>
    <t xml:space="preserve">Pénzeszköz  átvétel Pusztaottlaka önkormányzatától </t>
  </si>
  <si>
    <t>Jelzőrendszeres házi segítségnyújtás</t>
  </si>
  <si>
    <t xml:space="preserve">Önkormányzat bérbeadás, város és községgazdálkodás m.n.s. szolg. </t>
  </si>
  <si>
    <t>Startmunka program bevétele</t>
  </si>
  <si>
    <t>Óvodai étkeztetés</t>
  </si>
  <si>
    <t>Iskolai étkeztetés</t>
  </si>
  <si>
    <t>Alaptevékenység bevételei összesen</t>
  </si>
  <si>
    <t>Kötelező feladatok:</t>
  </si>
  <si>
    <t>Nem kötelező:</t>
  </si>
  <si>
    <t>Kötelező</t>
  </si>
  <si>
    <t>Nem kötelező</t>
  </si>
  <si>
    <t>Varázserdő Óvoda Medgyesegyháza</t>
  </si>
  <si>
    <t>Gondozási Központ Medgyesegyháza</t>
  </si>
  <si>
    <t>Összesen</t>
  </si>
  <si>
    <t>Kötelező mindösszesen:</t>
  </si>
  <si>
    <t>Nem kötelező mindösszesen:</t>
  </si>
  <si>
    <t>Mindösszesen:</t>
  </si>
  <si>
    <t>START</t>
  </si>
  <si>
    <t>Rövidszámla</t>
  </si>
  <si>
    <t>Felhalmozási célra átvett pénzeszközök</t>
  </si>
  <si>
    <t xml:space="preserve"> Finanszírozási bevételek - Támogatás működésre</t>
  </si>
  <si>
    <t>Szakfeladat</t>
  </si>
  <si>
    <t>2014. évi 
eredeti ei</t>
  </si>
  <si>
    <t>Önkormányzati igazgatási tevékenység</t>
  </si>
  <si>
    <t>Alaptevékenység összesen</t>
  </si>
  <si>
    <t>Kötelező:</t>
  </si>
  <si>
    <t>Kötelező/nem kötelező</t>
  </si>
  <si>
    <t>Háziorvosi alapellátás</t>
  </si>
  <si>
    <t>Fogorvosi alapellátás</t>
  </si>
  <si>
    <t>Egészségügyi labor</t>
  </si>
  <si>
    <t>Család és nővédelmi eü. gondozás</t>
  </si>
  <si>
    <t>Ifjúsági- egészségügyi gondozás</t>
  </si>
  <si>
    <t xml:space="preserve">Időskorúak bentlakásos szoc. ell. </t>
  </si>
  <si>
    <t>Idősek nappali ellátása</t>
  </si>
  <si>
    <t>Szociális étkeztetés</t>
  </si>
  <si>
    <t>Házi segítségnyújtás</t>
  </si>
  <si>
    <t>Vagyongazdálkodás</t>
  </si>
  <si>
    <t>Óvodai nevelés, ellátás</t>
  </si>
  <si>
    <t>TÁMOP-3.2.11/10-1-2010-0220 pályázat utóköv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</si>
  <si>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</si>
  <si>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</si>
  <si>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</si>
  <si>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</si>
  <si>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</si>
  <si>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</si>
  <si>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</si>
  <si>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</si>
  <si>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</si>
  <si>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</si>
  <si>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Szakfeladat/Feladat</t>
  </si>
  <si>
    <t>Polgármesteri keret</t>
  </si>
  <si>
    <t>Lakóingatlanok bérbe adása</t>
  </si>
  <si>
    <t>Nem lakóingatlan bérbeadása, üzemeltetése</t>
  </si>
  <si>
    <t>Üzemorvosi díj</t>
  </si>
  <si>
    <t>Közvilágítás</t>
  </si>
  <si>
    <t>Egyéb ösztöndíj</t>
  </si>
  <si>
    <t>Köztemetés</t>
  </si>
  <si>
    <t>Civil szervezetek működési támogatása</t>
  </si>
  <si>
    <t>Startmunka mintaprogram</t>
  </si>
  <si>
    <t>Önkormányzat üzemeltetési feladatok város-és községgazdálkodás feladatból</t>
  </si>
  <si>
    <t xml:space="preserve">Háziorvosi feladatok </t>
  </si>
  <si>
    <t>Általános Iskola - TÁMOP utókövetés</t>
  </si>
  <si>
    <t>Óvodai gyermekétkeztetés</t>
  </si>
  <si>
    <t>Iskolai gyermekétkeztetés</t>
  </si>
  <si>
    <t>Kötelező/ nem kötelező</t>
  </si>
  <si>
    <t>Finanszíroszási kiadások</t>
  </si>
  <si>
    <t>Engedélyezett létszám</t>
  </si>
  <si>
    <t>ebből: közfoglalkoztatott:</t>
  </si>
  <si>
    <t>2014.évi
 felhasználás</t>
  </si>
  <si>
    <t>Időskorúak bentlakásos szoc. ell.</t>
  </si>
  <si>
    <t xml:space="preserve">Engedélyezett létszám </t>
  </si>
  <si>
    <t>TÁMOP-3.2.11/10-1-2010-0220 
pályázat utókövetés</t>
  </si>
  <si>
    <t xml:space="preserve">Engedélyezett létszám           </t>
  </si>
  <si>
    <t>Kiegészító támogatás az óvodaped minősítéséből adódó többletkiadáshoz</t>
  </si>
  <si>
    <t>Céltartalék</t>
  </si>
  <si>
    <t>MINDÖSSZESEN:</t>
  </si>
  <si>
    <t>Államigazgatási feladatok</t>
  </si>
  <si>
    <t>Államigazgatási</t>
  </si>
  <si>
    <t>Általános tartalék</t>
  </si>
  <si>
    <t>Köztemető fenntartás</t>
  </si>
  <si>
    <t>Szünidei gyermekétkeztetés</t>
  </si>
  <si>
    <t>Egyéb működési célú kiadások Áht-n kívülre</t>
  </si>
  <si>
    <t>államigazg</t>
  </si>
  <si>
    <t>Bankszámlák egyenlege</t>
  </si>
  <si>
    <t>Államigazgatási:</t>
  </si>
  <si>
    <t>államigazgatási</t>
  </si>
  <si>
    <t>Medgyesegyházi Polgármesteri Hivatal</t>
  </si>
  <si>
    <t>Önkormányzatok szociális és gyermekjóléti feladatainak támogatása</t>
  </si>
  <si>
    <t>Felhamozási céltartalék</t>
  </si>
  <si>
    <t>Költségvetési kiadások összesen: (1.+3.+5.+6.)</t>
  </si>
  <si>
    <t>Működési célú finanszírozási kiadások összesen: (=9.)</t>
  </si>
  <si>
    <t>Egyéb kötelező önkormányzati feladatok támogatása</t>
  </si>
  <si>
    <t>Lakott külterülettel kapcsolatos feladatok támogatása</t>
  </si>
  <si>
    <t>Óvodapedagógusok bértámogatása</t>
  </si>
  <si>
    <t>Képviselő-testület kiadásai</t>
  </si>
  <si>
    <t>Medgyesegyházi Településüzemeltetési Kft. Támogatása</t>
  </si>
  <si>
    <t>Felhasználás 
2016. XII. 31-ig</t>
  </si>
  <si>
    <t>ASP rendszer kialakítása</t>
  </si>
  <si>
    <t>Közkifolyók kiadásai</t>
  </si>
  <si>
    <t xml:space="preserve">Tagdíjak: DAREH, Kertészek akciócsoport, </t>
  </si>
  <si>
    <t>Kistérségi társulásnak fizetendő díjak: ügyelet, belső ellenőrzés, tagdíj</t>
  </si>
  <si>
    <t>Költségvetési maradvány</t>
  </si>
  <si>
    <t>Szennyvíz- és ivóvízhálózat gördülő tervezés miatti kiadásai</t>
  </si>
  <si>
    <t>Állami támogatások és megelőlegezések  visszafizetése</t>
  </si>
  <si>
    <t>Bursa Hungarica ösztöndíj</t>
  </si>
  <si>
    <t>Hulladéklerakó rekultiválás</t>
  </si>
  <si>
    <t>Gyógyszertámogatás</t>
  </si>
  <si>
    <t xml:space="preserve">TOP-5.2-1-15-BS1 Társadalmi együttműködés erősítését szolgáló helyi szintű </t>
  </si>
  <si>
    <t>TOP-2.1.2-15-BS1 Zöld város kialakítása</t>
  </si>
  <si>
    <t xml:space="preserve">TOP-5.2.1-15-BS1 Társadalmi együttműködés erősítését szolgáló helyi szintű </t>
  </si>
  <si>
    <t>TOP-1.4.1-15-BS1 Foglalkoztatás és életminőség javítása családbarát munkába….</t>
  </si>
  <si>
    <t>TOP-4.3.1-15-BS1 leromlot városi területek rehabilitációja</t>
  </si>
  <si>
    <t>TOP-4.3.1-15-BS1 Leromlot városi területek rehabilitációja</t>
  </si>
  <si>
    <t>TOP-4.1.1-15-BS1 Egészségügyi ellátás infrastukturális fejlesztése</t>
  </si>
  <si>
    <t>forintban</t>
  </si>
  <si>
    <t>Művelődési Ház és Könyvtár</t>
  </si>
  <si>
    <t>Schéner Ház</t>
  </si>
  <si>
    <t>Medgyesi Hírlap</t>
  </si>
  <si>
    <t>Medgyesi Napok</t>
  </si>
  <si>
    <t>Dinnyefesztivál</t>
  </si>
  <si>
    <t>Államigazgatási mindösszesen:</t>
  </si>
  <si>
    <t>Család és gyermekjóléti szolgáltatás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</si>
  <si>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</si>
  <si>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</si>
  <si>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</si>
  <si>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</si>
  <si>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</si>
  <si>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Külsős bizottsági tag</t>
  </si>
  <si>
    <t>Közmunkaprogramban részt vevő</t>
  </si>
  <si>
    <t>Elszámolásból származó bevételek</t>
  </si>
  <si>
    <t>Engedélyezett létszámkeret</t>
  </si>
  <si>
    <t>1 fő polgármester</t>
  </si>
  <si>
    <t>Medgyesegyháza Polgármesteri Hivatal</t>
  </si>
  <si>
    <t>1 fő munkatörvénykönyves</t>
  </si>
  <si>
    <t>Medgyesegyháza Városi Gondozási Központ</t>
  </si>
  <si>
    <t>Medgyesegyházi Varázserdő Óvoda</t>
  </si>
  <si>
    <t>23 fő közalkalmazott</t>
  </si>
  <si>
    <t>Medgyesegyháza Városi Művelődési Ház és Könyvtár</t>
  </si>
  <si>
    <t>16 fő köztisztviselő</t>
  </si>
  <si>
    <t>1 fő alpolgármester</t>
  </si>
  <si>
    <t>5 fő képviselő</t>
  </si>
  <si>
    <t>1.5.-ből Előző évi elszámolásból származó befizetések</t>
  </si>
  <si>
    <t>Felhalmozási célra átvett pénzeszköz</t>
  </si>
  <si>
    <t>Önkormányzatok felhalmozási támogatása</t>
  </si>
  <si>
    <t>Kompenzáció</t>
  </si>
  <si>
    <t>1.-ből EU-s forrásból megvalósuló beruházás</t>
  </si>
  <si>
    <t>117-</t>
  </si>
  <si>
    <t>I. félévi teljesítés</t>
  </si>
  <si>
    <t>Felhalmozási bevétel</t>
  </si>
  <si>
    <t>TOP-5.1.2-15-BS1 Foglalkoztatási paktum</t>
  </si>
  <si>
    <t>1.5.1</t>
  </si>
  <si>
    <t>1.5.2</t>
  </si>
  <si>
    <t>1.5.3</t>
  </si>
  <si>
    <t>1.5.4</t>
  </si>
  <si>
    <t>1.5.5</t>
  </si>
  <si>
    <t>1.6.1</t>
  </si>
  <si>
    <t>1.6.2</t>
  </si>
  <si>
    <t>Működési költségvetés kiadásai (1.1.+…+1.5.+1.6.)</t>
  </si>
  <si>
    <t>Előző évi költségvetési maradvány igénybe vétele</t>
  </si>
  <si>
    <t>Egyéb felhalmozási bevételek</t>
  </si>
  <si>
    <t>átlagos statisztikai 
állományi létszám</t>
  </si>
  <si>
    <t>1.1. melléklet a          /2018.(………………) önkormányzati rendelethez</t>
  </si>
  <si>
    <t>2018. ÉVI KÖLTSÉGVETÉSÉNEK ÖSSZEVONT MÉRLEGE (forintban)</t>
  </si>
  <si>
    <t>2018. évi 
előirányzat</t>
  </si>
  <si>
    <t>2018. évi
mód. előir</t>
  </si>
  <si>
    <t>2018. évi telj</t>
  </si>
  <si>
    <t>2018. 
telj %</t>
  </si>
  <si>
    <t>1.2. melléklet a          /2018.(………………) önkormányzati rendelethez</t>
  </si>
  <si>
    <t>2018. ÉVI KÖLTSÉGVETÉS KÖTELEZŐ FELADATAINAK MÉRLEGE (forintban)</t>
  </si>
  <si>
    <t>1.3. melléklet a          /2018.(………………) önkormányzati rendelethez</t>
  </si>
  <si>
    <t>2018. ÉVI KÖLTSÉGVETÉS ÖNKÉNT VÁLLALT FELADATAINAK MÉRLEGE
(forintban)</t>
  </si>
  <si>
    <t>1.4. melléklet a …….../2018.(………………) önkormányzati rendelethez</t>
  </si>
  <si>
    <t>2018. ÉVI KÖLTSÉGVETÉS ÁLLAMIGAZGATÁSI FELADATAINAK MÉRLEGE
forintban</t>
  </si>
  <si>
    <t>2.1. melléklet a              ………/2018.(………..) önkormányzati rendelethez</t>
  </si>
  <si>
    <t>2018. 
évi telj</t>
  </si>
  <si>
    <t>2.2. melléklet a  ………/2018.(………..) önkormányzati rendelethez</t>
  </si>
  <si>
    <t>3.1. melléklet a ……./2018.(……………..) önkormányzati rendelethez</t>
  </si>
  <si>
    <t>Medgyesegyháza Város Önkormányzat 2018 évi bevételeinek alakulása - Önkormányzat
I. félévi teljesítés
forintban</t>
  </si>
  <si>
    <t>2018. évi előirányzat</t>
  </si>
  <si>
    <t>2018. 
mód ei.</t>
  </si>
  <si>
    <t>2018. évi
 előirányzat</t>
  </si>
  <si>
    <t>Ebből 2018. évi előleg</t>
  </si>
  <si>
    <t>3.2. melléklet ..../2018. (…...) önkormányzati rendelethez</t>
  </si>
  <si>
    <t>Medgyesegyháza Város Önkormányzat 2018. évi bevételeinek alakulása - Medgyesegyházi Polgármesteri Hivatal
I. félévi teljesítés
forintban</t>
  </si>
  <si>
    <t>2018. évi eredeti ei.</t>
  </si>
  <si>
    <t>2018. évi
 telj</t>
  </si>
  <si>
    <t>2018. évi 
telj</t>
  </si>
  <si>
    <t>2018. évi 
eredeti ei.</t>
  </si>
  <si>
    <t>2018. évi
telj</t>
  </si>
  <si>
    <t>3.3.  melléklet a .../2018. (....) önkormányzati rendelethez</t>
  </si>
  <si>
    <t>Medgyesegyháza Város Önkormányzat 2018. évi bevételeinek alakulása - Gondozási Központ 
I. félévi teljesítés
(forintban)</t>
  </si>
  <si>
    <t>2018. 
telj</t>
  </si>
  <si>
    <t>2018.
telj %</t>
  </si>
  <si>
    <t>3.4.  melléklet a .../2018. (....) önkormányzati rendelethez</t>
  </si>
  <si>
    <t>Medgyesegyháza Város Önkormányzat 2018. évi bevételeinek alakulása - Varázserdő Óvoda
I. félévi teljesítés
forintban</t>
  </si>
  <si>
    <t>3.5.  melléklet a .../2018. (....) önkormányzati rendelethez</t>
  </si>
  <si>
    <t>Medgyesegyháza Város Önkormányzat 2018. évi bevételeinek alakulása - Művelődési Ház és Könyvtár 
I. félévi teljesítés
(forintban)</t>
  </si>
  <si>
    <t>4.1.  melléklet a ..../2018. (....) önkormányzati rendelethez</t>
  </si>
  <si>
    <t>Az Önkormányzat 2018. évi kiadások kiemelt előirányzatonként
I. félévi teljesítés
forintban</t>
  </si>
  <si>
    <t>2018. előirányzat</t>
  </si>
  <si>
    <t>2018. 
előirányzat</t>
  </si>
  <si>
    <t>2018. évi bevétel</t>
  </si>
  <si>
    <t>4.2. melléklet .../2018. (...)  önkormányzati rendelethez</t>
  </si>
  <si>
    <t>Medgyesegyházi Polgármesteri Hivatal 2018. évi kiadások kiemelt előirányzatonként
I. félévi teljesítés
forintban</t>
  </si>
  <si>
    <t>4.3. melléklet a .../2018. (....) önkormányzati rendelethez</t>
  </si>
  <si>
    <t>Gondozási Központ 2018. évi kiadások kiemelt előirányzatonként
I. félévi teljesítés
forintban</t>
  </si>
  <si>
    <t>4.4. melléklet a .../2018. (....) önkormányzati rendelethez</t>
  </si>
  <si>
    <t>Varázserdő Óvoda 2018. évi kiadások kiemelt előirányzatonként
I. félévi teljesítés
forintban</t>
  </si>
  <si>
    <t>4.5. melléklet a .../2018. (....) önkormányzati rendelethez</t>
  </si>
  <si>
    <t>Művelődési Ház és Könyvtár 2018. évi kiadások kiemelt előirányzatonként
I. félévi teljesítés
forintban</t>
  </si>
  <si>
    <t>2018. évi eredeti Ei.</t>
  </si>
  <si>
    <t>5. melléklet a ……/2018.(…………) önkormányzati rendelethez</t>
  </si>
  <si>
    <t>2018. évi
mód. ei.</t>
  </si>
  <si>
    <t>2018.
telj</t>
  </si>
  <si>
    <t>2018. év utáni
szükséglet</t>
  </si>
  <si>
    <t>6. melléklet a ……/2018.(…………) önkormányzati rendelethez</t>
  </si>
  <si>
    <t>Polgármesteri illetmény támogatása</t>
  </si>
  <si>
    <t>Rászoruló gyermekek szünidei étkeztetésének támogatása</t>
  </si>
  <si>
    <t>Rákóczi utca felújítása</t>
  </si>
  <si>
    <t>VP6-7.2.1-7.4.1.2-16 Külterületi utak fejlesztése</t>
  </si>
  <si>
    <t>VP6-7.2.1-7.4.1.3-17 Helyi termékértékesítést szolgáló piacok infrastrukt. Fejleszt.</t>
  </si>
  <si>
    <t>Kulturális ágazati pótlék</t>
  </si>
  <si>
    <t>Összevont ágazati pótlék</t>
  </si>
  <si>
    <t>ASP rendszert használók céljuttatása</t>
  </si>
  <si>
    <t>Könyvtár érdekeltségnövelő támogatása</t>
  </si>
  <si>
    <t>Téli rezsiccsökkentés</t>
  </si>
  <si>
    <t>EFOP-1.5.3-16-2017-00060 Humán szolgálat</t>
  </si>
  <si>
    <t>EFOP-3.9.2-16-2017-00025 Konzorciumi tag</t>
  </si>
  <si>
    <t>Pótlékok</t>
  </si>
  <si>
    <t>Bírságok</t>
  </si>
  <si>
    <t>Országgyűlési választás</t>
  </si>
  <si>
    <t>Egyéb rendezvények</t>
  </si>
  <si>
    <t>EFOP-129 pályázat</t>
  </si>
  <si>
    <t>Rákóczi Ferenc utca  útburkolat felújítása</t>
  </si>
  <si>
    <t>Minibölcsőde kialakítása</t>
  </si>
  <si>
    <t>Pályázatok önerejére tartalék</t>
  </si>
  <si>
    <t>Lakhatási támogatás</t>
  </si>
  <si>
    <t>Rendkívüli települési támogatás - egyszeri segély</t>
  </si>
  <si>
    <t>Krízissegély</t>
  </si>
  <si>
    <t>Temetési segély</t>
  </si>
  <si>
    <t>Hulladékszállítási díjkedvezmény</t>
  </si>
  <si>
    <t>Tüzelőanyag természetbeni juttatása</t>
  </si>
  <si>
    <t>Hosszabb távú közfoglalkoztatás</t>
  </si>
  <si>
    <t>Útalap készítés Wesselényi és Irányi utca</t>
  </si>
  <si>
    <t>Település arculati kézikönyv</t>
  </si>
  <si>
    <r>
      <t>Szennyvízszippantás 100 Ft/m</t>
    </r>
    <r>
      <rPr>
        <vertAlign val="superscript"/>
        <sz val="10"/>
        <rFont val="Times New Roman"/>
        <family val="1"/>
        <charset val="238"/>
      </rPr>
      <t>3</t>
    </r>
  </si>
  <si>
    <t>Sportcsarnok, uszoda használati díja</t>
  </si>
  <si>
    <t>Dinnyefesztivál önkormányzati kiadásai</t>
  </si>
  <si>
    <t xml:space="preserve">Művelődési ház részére bevétel átadás + könyvtár pályázat </t>
  </si>
  <si>
    <t>Medgyesegyháza, Batthány u. 7. stzám alastti ingatlan megvásárlása</t>
  </si>
  <si>
    <t>VP6-7.2.1-7.4.1.2-16 Külterületi helyi utak  fejlesztése</t>
  </si>
  <si>
    <t>VP6-7.2.1-7.4.1.3-17 Helyi terméértékesítést szolgáló piacok infrastrukt fejleszt.</t>
  </si>
  <si>
    <t>TOP-5.1.2-15-BS1-2016-00008 Foglalkoztatási paktum</t>
  </si>
  <si>
    <t>EFOP-1.5.3-16-2017-00060 Humán szolgálat konzorciumi tag</t>
  </si>
  <si>
    <t>KEHOP-1.2.1 Pályázat</t>
  </si>
  <si>
    <t>Arany János utca felújítása</t>
  </si>
  <si>
    <t>Önkormányzat</t>
  </si>
  <si>
    <t>Helyi sajátosságokra épülő közfolglalkoztatás</t>
  </si>
  <si>
    <t>Raklapemelő</t>
  </si>
  <si>
    <t>Lapvibrátor</t>
  </si>
  <si>
    <t>10 db Térkősablon</t>
  </si>
  <si>
    <t>Térkő roppantógép</t>
  </si>
  <si>
    <t>Digitális tolósúlyos mérleg 300 kg</t>
  </si>
  <si>
    <t>Kézikocsi</t>
  </si>
  <si>
    <t>Állvány tartozékaival</t>
  </si>
  <si>
    <t>Áramfejlesztő</t>
  </si>
  <si>
    <t>Mezőgazdaság</t>
  </si>
  <si>
    <t>150 mm -es fúrószár</t>
  </si>
  <si>
    <t>60 mm-es fúrószár</t>
  </si>
  <si>
    <t>Fúrógép</t>
  </si>
  <si>
    <t>Akkumulátoros csavarbehajtó</t>
  </si>
  <si>
    <t>500 W-os szivattyú</t>
  </si>
  <si>
    <t>Toldószár</t>
  </si>
  <si>
    <t>Gödörfúró</t>
  </si>
  <si>
    <t>Mezőgazdasági földutak karbantartása</t>
  </si>
  <si>
    <t>Kompresszor</t>
  </si>
  <si>
    <t>Startmunka összesen:</t>
  </si>
  <si>
    <t>TOP pályázatok</t>
  </si>
  <si>
    <t>VP6-7.2.1-7.4.1.2-16 Külterületi helyi utak fejlesztése</t>
  </si>
  <si>
    <t>VP6-7.2.1-7.4.1.3-17 Helyi termékértékesítést szolgáló piacok infrastukt. fejleszt.</t>
  </si>
  <si>
    <t>Pályázatok összesen:</t>
  </si>
  <si>
    <t>Háziorvosi körzetbe 1 db laptop és 1 db számítógép</t>
  </si>
  <si>
    <t>Batthyány utca 7 szám alatti ingatlan megvásárlása</t>
  </si>
  <si>
    <t>Képviselő testület kiadásai soron egy éven túl 
elhasználódó eszközök</t>
  </si>
  <si>
    <t>Könyvtár bútorbeszerzés önerő</t>
  </si>
  <si>
    <t>Önkormányzat összesen:</t>
  </si>
  <si>
    <t>Polgármesteri Hivatal</t>
  </si>
  <si>
    <t>1 éven túl elhasználódó eszközök</t>
  </si>
  <si>
    <t>Polgármesteri Hivatal összesen:</t>
  </si>
  <si>
    <t>Gondozási Központ</t>
  </si>
  <si>
    <t>Gondozási Központ összesen:</t>
  </si>
  <si>
    <t>Varázserdő Óvoda</t>
  </si>
  <si>
    <t>Óvoda összesen:</t>
  </si>
  <si>
    <t>Művelődési Ház és Könyvtár összesen:</t>
  </si>
  <si>
    <t>Gyermekorvos szolgálati lakás 2 db bejárati ajtó csere</t>
  </si>
  <si>
    <t>Rákóczi Ferenc utca útburkolat javítás (pályázat)</t>
  </si>
  <si>
    <t xml:space="preserve">Wesselényi utca útalap </t>
  </si>
  <si>
    <t>Irányi utca útalap</t>
  </si>
  <si>
    <t>Dózsa György utca 2. ingatlan villanyszerelés, fűtés és
 vizvezeték felújítás</t>
  </si>
  <si>
    <t>Arany János utca (Rákóczi és Deák között) felújítás önereje</t>
  </si>
  <si>
    <t>Ipari park</t>
  </si>
  <si>
    <t>Egyéb működési célú támogatások bevételei ÁHT-n belülről</t>
  </si>
  <si>
    <t>60 fő közmunkás</t>
  </si>
  <si>
    <t>7 db kártyaolvasó</t>
  </si>
  <si>
    <t>3 db Választásra függöny</t>
  </si>
  <si>
    <t>1 db Kávéfőző</t>
  </si>
  <si>
    <t>1 db Vezetékes telefon</t>
  </si>
  <si>
    <t>1 db Alumínium létra</t>
  </si>
  <si>
    <t>15 db függöny + 14 db sötétítő függöny</t>
  </si>
  <si>
    <t>Memória DDR3 Kingston</t>
  </si>
  <si>
    <t>Levegős szett</t>
  </si>
  <si>
    <t>Kályha</t>
  </si>
  <si>
    <t>Dr Dimák Sándor háziorvos részére 1 db notebook</t>
  </si>
  <si>
    <t>Dr Dimák Sándor háziorvos részére 1 db számítógép</t>
  </si>
  <si>
    <t>16 db jelzőtábla</t>
  </si>
  <si>
    <t>Felhasználás 
2017. XII. 31-ig</t>
  </si>
  <si>
    <t>1 fő</t>
  </si>
  <si>
    <t>5 fő</t>
  </si>
  <si>
    <t>78,95 fő</t>
  </si>
  <si>
    <t>15,75 fő</t>
  </si>
  <si>
    <t>31 fő közalkalmazott</t>
  </si>
  <si>
    <t>32,05 fő</t>
  </si>
  <si>
    <t>23 fő</t>
  </si>
  <si>
    <t>5 fő közalkalmazott</t>
  </si>
  <si>
    <t>3,85 fő</t>
  </si>
  <si>
    <t>2 fő külsős bizottsági tag</t>
  </si>
  <si>
    <t>2 fő</t>
  </si>
  <si>
    <t>Összesen:   145     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</si>
</sst>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vertAlign val="superscript"/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5" fillId="0" borderId="6" xfId="0" applyFont="1" applyBorder="1"/>
    <xf numFmtId="0" fontId="6" fillId="0" borderId="9" xfId="0" applyFont="1" applyBorder="1"/>
    <xf numFmtId="0" fontId="5" fillId="0" borderId="6" xfId="0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49" fontId="6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/>
    <xf numFmtId="49" fontId="5" fillId="0" borderId="14" xfId="0" applyNumberFormat="1" applyFont="1" applyBorder="1" applyAlignment="1">
      <alignment horizontal="center"/>
    </xf>
    <xf numFmtId="0" fontId="5" fillId="0" borderId="12" xfId="0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5" applyFont="1" applyBorder="1"/>
    <xf numFmtId="0" fontId="8" fillId="0" borderId="1" xfId="5" applyFont="1" applyBorder="1" applyAlignment="1">
      <alignment horizontal="center"/>
    </xf>
    <xf numFmtId="0" fontId="7" fillId="0" borderId="0" xfId="5" applyFont="1"/>
    <xf numFmtId="0" fontId="9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3" fontId="18" fillId="2" borderId="1" xfId="5" applyNumberFormat="1" applyFont="1" applyFill="1" applyBorder="1" applyAlignment="1">
      <alignment wrapText="1"/>
    </xf>
    <xf numFmtId="0" fontId="19" fillId="0" borderId="1" xfId="5" applyFont="1" applyBorder="1" applyAlignment="1">
      <alignment vertical="center"/>
    </xf>
    <xf numFmtId="3" fontId="3" fillId="0" borderId="0" xfId="5" applyNumberFormat="1"/>
    <xf numFmtId="0" fontId="3" fillId="0" borderId="0" xfId="5"/>
    <xf numFmtId="0" fontId="8" fillId="0" borderId="1" xfId="5" applyFont="1" applyBorder="1" applyAlignment="1">
      <alignment horizontal="center" wrapText="1"/>
    </xf>
    <xf numFmtId="0" fontId="8" fillId="2" borderId="1" xfId="5" applyFont="1" applyFill="1" applyBorder="1" applyAlignment="1">
      <alignment horizontal="center"/>
    </xf>
    <xf numFmtId="0" fontId="19" fillId="2" borderId="1" xfId="5" applyFont="1" applyFill="1" applyBorder="1" applyAlignment="1">
      <alignment vertical="center"/>
    </xf>
    <xf numFmtId="0" fontId="3" fillId="2" borderId="0" xfId="5" applyFill="1"/>
    <xf numFmtId="0" fontId="3" fillId="0" borderId="1" xfId="5" applyBorder="1"/>
    <xf numFmtId="0" fontId="20" fillId="0" borderId="1" xfId="5" applyFont="1" applyFill="1" applyBorder="1" applyAlignment="1">
      <alignment vertical="center"/>
    </xf>
    <xf numFmtId="0" fontId="3" fillId="0" borderId="0" xfId="5" applyBorder="1"/>
    <xf numFmtId="0" fontId="9" fillId="2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vertical="center"/>
    </xf>
    <xf numFmtId="0" fontId="20" fillId="2" borderId="1" xfId="5" applyFont="1" applyFill="1" applyBorder="1" applyAlignment="1">
      <alignment vertical="center"/>
    </xf>
    <xf numFmtId="0" fontId="22" fillId="2" borderId="1" xfId="5" applyFont="1" applyFill="1" applyBorder="1" applyAlignment="1">
      <alignment vertical="center"/>
    </xf>
    <xf numFmtId="0" fontId="17" fillId="2" borderId="1" xfId="5" applyFont="1" applyFill="1" applyBorder="1" applyAlignment="1">
      <alignment horizontal="center" vertical="center"/>
    </xf>
    <xf numFmtId="0" fontId="14" fillId="2" borderId="0" xfId="5" applyFont="1" applyFill="1"/>
    <xf numFmtId="0" fontId="3" fillId="2" borderId="0" xfId="5" applyFill="1" applyBorder="1"/>
    <xf numFmtId="0" fontId="23" fillId="2" borderId="1" xfId="5" applyFont="1" applyFill="1" applyBorder="1" applyAlignment="1">
      <alignment horizontal="center"/>
    </xf>
    <xf numFmtId="0" fontId="18" fillId="2" borderId="0" xfId="5" applyFont="1" applyFill="1"/>
    <xf numFmtId="0" fontId="25" fillId="2" borderId="1" xfId="5" applyFont="1" applyFill="1" applyBorder="1" applyAlignment="1">
      <alignment horizontal="center" wrapText="1"/>
    </xf>
    <xf numFmtId="0" fontId="26" fillId="2" borderId="1" xfId="5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vertical="center"/>
    </xf>
    <xf numFmtId="3" fontId="27" fillId="0" borderId="1" xfId="5" applyNumberFormat="1" applyFont="1" applyFill="1" applyBorder="1" applyAlignment="1">
      <alignment horizontal="right" vertical="center" wrapText="1"/>
    </xf>
    <xf numFmtId="0" fontId="18" fillId="0" borderId="0" xfId="5" applyFont="1" applyFill="1"/>
    <xf numFmtId="0" fontId="18" fillId="2" borderId="1" xfId="5" applyFont="1" applyFill="1" applyBorder="1"/>
    <xf numFmtId="0" fontId="18" fillId="2" borderId="1" xfId="5" applyFont="1" applyFill="1" applyBorder="1" applyAlignment="1">
      <alignment vertical="center"/>
    </xf>
    <xf numFmtId="0" fontId="9" fillId="2" borderId="1" xfId="5" applyFont="1" applyFill="1" applyBorder="1" applyAlignment="1">
      <alignment horizontal="center" wrapText="1"/>
    </xf>
    <xf numFmtId="3" fontId="18" fillId="2" borderId="0" xfId="5" applyNumberFormat="1" applyFont="1" applyFill="1"/>
    <xf numFmtId="0" fontId="23" fillId="2" borderId="1" xfId="5" applyFont="1" applyFill="1" applyBorder="1"/>
    <xf numFmtId="0" fontId="12" fillId="2" borderId="1" xfId="5" applyFont="1" applyFill="1" applyBorder="1" applyAlignment="1">
      <alignment vertical="center"/>
    </xf>
    <xf numFmtId="3" fontId="12" fillId="2" borderId="1" xfId="5" applyNumberFormat="1" applyFont="1" applyFill="1" applyBorder="1" applyAlignment="1">
      <alignment horizontal="right" vertical="center"/>
    </xf>
    <xf numFmtId="3" fontId="18" fillId="2" borderId="1" xfId="5" applyNumberFormat="1" applyFont="1" applyFill="1" applyBorder="1"/>
    <xf numFmtId="3" fontId="27" fillId="2" borderId="1" xfId="5" applyNumberFormat="1" applyFont="1" applyFill="1" applyBorder="1"/>
    <xf numFmtId="0" fontId="23" fillId="2" borderId="0" xfId="5" applyFont="1" applyFill="1"/>
    <xf numFmtId="0" fontId="23" fillId="2" borderId="1" xfId="5" applyFont="1" applyFill="1" applyBorder="1" applyAlignment="1">
      <alignment vertical="center"/>
    </xf>
    <xf numFmtId="0" fontId="18" fillId="2" borderId="1" xfId="5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right" vertical="center"/>
    </xf>
    <xf numFmtId="0" fontId="27" fillId="2" borderId="1" xfId="5" applyFont="1" applyFill="1" applyBorder="1" applyAlignment="1">
      <alignment horizontal="right" vertical="center"/>
    </xf>
    <xf numFmtId="0" fontId="18" fillId="2" borderId="1" xfId="5" applyFont="1" applyFill="1" applyBorder="1" applyAlignment="1">
      <alignment horizontal="right" vertical="center"/>
    </xf>
    <xf numFmtId="0" fontId="7" fillId="0" borderId="0" xfId="5" applyFont="1" applyAlignment="1">
      <alignment horizontal="right"/>
    </xf>
    <xf numFmtId="0" fontId="18" fillId="0" borderId="1" xfId="5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wrapText="1"/>
    </xf>
    <xf numFmtId="0" fontId="26" fillId="0" borderId="1" xfId="5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 wrapText="1"/>
    </xf>
    <xf numFmtId="0" fontId="27" fillId="0" borderId="0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/>
    <xf numFmtId="3" fontId="27" fillId="0" borderId="0" xfId="5" applyNumberFormat="1" applyFont="1" applyFill="1" applyBorder="1" applyAlignment="1">
      <alignment horizontal="right" vertical="center" wrapText="1"/>
    </xf>
    <xf numFmtId="0" fontId="25" fillId="0" borderId="1" xfId="5" applyFont="1" applyFill="1" applyBorder="1" applyAlignment="1">
      <alignment horizontal="center"/>
    </xf>
    <xf numFmtId="0" fontId="27" fillId="0" borderId="1" xfId="5" applyFont="1" applyFill="1" applyBorder="1" applyAlignment="1">
      <alignment vertical="center"/>
    </xf>
    <xf numFmtId="0" fontId="27" fillId="0" borderId="0" xfId="5" applyFont="1" applyFill="1"/>
    <xf numFmtId="0" fontId="18" fillId="0" borderId="1" xfId="5" applyFont="1" applyFill="1" applyBorder="1" applyAlignment="1">
      <alignment vertical="center"/>
    </xf>
    <xf numFmtId="3" fontId="18" fillId="0" borderId="0" xfId="5" applyNumberFormat="1" applyFont="1" applyFill="1" applyBorder="1" applyAlignment="1">
      <alignment horizontal="right" vertical="center" wrapText="1"/>
    </xf>
    <xf numFmtId="3" fontId="28" fillId="0" borderId="0" xfId="5" applyNumberFormat="1" applyFont="1" applyFill="1" applyBorder="1" applyAlignment="1">
      <alignment vertical="center"/>
    </xf>
    <xf numFmtId="3" fontId="18" fillId="0" borderId="0" xfId="5" applyNumberFormat="1" applyFont="1" applyFill="1" applyBorder="1"/>
    <xf numFmtId="0" fontId="27" fillId="0" borderId="1" xfId="5" applyFont="1" applyFill="1" applyBorder="1"/>
    <xf numFmtId="3" fontId="18" fillId="0" borderId="0" xfId="5" applyNumberFormat="1" applyFont="1" applyFill="1"/>
    <xf numFmtId="0" fontId="6" fillId="0" borderId="0" xfId="0" applyFont="1" applyAlignment="1">
      <alignment horizontal="center"/>
    </xf>
    <xf numFmtId="3" fontId="6" fillId="0" borderId="4" xfId="0" applyNumberFormat="1" applyFon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3" fontId="5" fillId="0" borderId="4" xfId="0" applyNumberFormat="1" applyFont="1" applyBorder="1"/>
    <xf numFmtId="0" fontId="5" fillId="0" borderId="4" xfId="0" applyFont="1" applyBorder="1"/>
    <xf numFmtId="1" fontId="6" fillId="0" borderId="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3" fontId="27" fillId="0" borderId="0" xfId="5" applyNumberFormat="1" applyFont="1" applyFill="1" applyBorder="1"/>
    <xf numFmtId="3" fontId="6" fillId="0" borderId="0" xfId="0" applyNumberFormat="1" applyFont="1"/>
    <xf numFmtId="3" fontId="5" fillId="0" borderId="6" xfId="0" applyNumberFormat="1" applyFont="1" applyBorder="1" applyAlignment="1">
      <alignment horizontal="center"/>
    </xf>
    <xf numFmtId="165" fontId="12" fillId="0" borderId="1" xfId="2" applyNumberFormat="1" applyFont="1" applyFill="1" applyBorder="1" applyAlignment="1">
      <alignment horizontal="right" vertical="center"/>
    </xf>
    <xf numFmtId="165" fontId="12" fillId="5" borderId="1" xfId="2" applyNumberFormat="1" applyFont="1" applyFill="1" applyBorder="1" applyAlignment="1">
      <alignment horizontal="right" vertical="center"/>
    </xf>
    <xf numFmtId="165" fontId="12" fillId="0" borderId="1" xfId="5" applyNumberFormat="1" applyFont="1" applyFill="1" applyBorder="1" applyAlignment="1">
      <alignment horizontal="right" vertical="center" wrapText="1"/>
    </xf>
    <xf numFmtId="165" fontId="27" fillId="0" borderId="1" xfId="5" applyNumberFormat="1" applyFont="1" applyFill="1" applyBorder="1" applyAlignment="1">
      <alignment horizontal="right" vertical="center"/>
    </xf>
    <xf numFmtId="165" fontId="27" fillId="0" borderId="1" xfId="5" applyNumberFormat="1" applyFont="1" applyFill="1" applyBorder="1" applyAlignment="1">
      <alignment horizontal="right" vertical="center" wrapText="1"/>
    </xf>
    <xf numFmtId="165" fontId="12" fillId="0" borderId="1" xfId="5" applyNumberFormat="1" applyFont="1" applyFill="1" applyBorder="1" applyAlignment="1">
      <alignment vertical="center"/>
    </xf>
    <xf numFmtId="165" fontId="12" fillId="0" borderId="1" xfId="5" applyNumberFormat="1" applyFont="1" applyFill="1" applyBorder="1" applyAlignment="1">
      <alignment horizontal="right" vertical="center"/>
    </xf>
    <xf numFmtId="165" fontId="12" fillId="0" borderId="1" xfId="6" applyNumberFormat="1" applyFont="1" applyFill="1" applyBorder="1" applyAlignment="1">
      <alignment horizontal="right" vertical="center"/>
    </xf>
    <xf numFmtId="165" fontId="18" fillId="0" borderId="1" xfId="5" applyNumberFormat="1" applyFont="1" applyFill="1" applyBorder="1"/>
    <xf numFmtId="165" fontId="12" fillId="0" borderId="1" xfId="6" applyNumberFormat="1" applyFont="1" applyFill="1" applyBorder="1" applyAlignment="1">
      <alignment vertical="center"/>
    </xf>
    <xf numFmtId="165" fontId="28" fillId="0" borderId="1" xfId="5" applyNumberFormat="1" applyFont="1" applyFill="1" applyBorder="1" applyAlignment="1">
      <alignment vertical="center"/>
    </xf>
    <xf numFmtId="165" fontId="18" fillId="0" borderId="1" xfId="5" applyNumberFormat="1" applyFont="1" applyFill="1" applyBorder="1" applyAlignment="1">
      <alignment horizontal="right" vertical="center" wrapText="1"/>
    </xf>
    <xf numFmtId="165" fontId="27" fillId="0" borderId="1" xfId="5" applyNumberFormat="1" applyFont="1" applyFill="1" applyBorder="1"/>
    <xf numFmtId="165" fontId="12" fillId="2" borderId="1" xfId="5" applyNumberFormat="1" applyFont="1" applyFill="1" applyBorder="1" applyAlignment="1">
      <alignment horizontal="right" vertical="center"/>
    </xf>
    <xf numFmtId="165" fontId="11" fillId="2" borderId="1" xfId="5" applyNumberFormat="1" applyFont="1" applyFill="1" applyBorder="1" applyAlignment="1">
      <alignment horizontal="right" vertical="center"/>
    </xf>
    <xf numFmtId="165" fontId="27" fillId="2" borderId="1" xfId="5" applyNumberFormat="1" applyFont="1" applyFill="1" applyBorder="1" applyAlignment="1">
      <alignment horizontal="right" vertical="center"/>
    </xf>
    <xf numFmtId="165" fontId="18" fillId="2" borderId="1" xfId="5" applyNumberFormat="1" applyFont="1" applyFill="1" applyBorder="1"/>
    <xf numFmtId="165" fontId="11" fillId="2" borderId="1" xfId="5" applyNumberFormat="1" applyFont="1" applyFill="1" applyBorder="1" applyAlignment="1">
      <alignment vertical="center"/>
    </xf>
    <xf numFmtId="165" fontId="19" fillId="2" borderId="1" xfId="5" applyNumberFormat="1" applyFont="1" applyFill="1" applyBorder="1" applyAlignment="1">
      <alignment vertical="center"/>
    </xf>
    <xf numFmtId="165" fontId="19" fillId="2" borderId="1" xfId="5" applyNumberFormat="1" applyFont="1" applyFill="1" applyBorder="1" applyAlignment="1">
      <alignment horizontal="right" vertical="center"/>
    </xf>
    <xf numFmtId="165" fontId="17" fillId="2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Border="1" applyAlignment="1">
      <alignment vertical="center"/>
    </xf>
    <xf numFmtId="165" fontId="19" fillId="0" borderId="1" xfId="5" applyNumberFormat="1" applyFont="1" applyBorder="1" applyAlignment="1">
      <alignment vertical="center"/>
    </xf>
    <xf numFmtId="165" fontId="19" fillId="0" borderId="1" xfId="5" applyNumberFormat="1" applyFont="1" applyBorder="1" applyAlignment="1">
      <alignment horizontal="right" vertical="center"/>
    </xf>
    <xf numFmtId="165" fontId="17" fillId="0" borderId="1" xfId="5" applyNumberFormat="1" applyFont="1" applyBorder="1" applyAlignment="1">
      <alignment horizontal="right" vertical="center"/>
    </xf>
    <xf numFmtId="165" fontId="7" fillId="0" borderId="1" xfId="5" applyNumberFormat="1" applyFont="1" applyBorder="1"/>
    <xf numFmtId="0" fontId="12" fillId="0" borderId="1" xfId="5" applyFont="1" applyFill="1" applyBorder="1" applyAlignment="1">
      <alignment vertical="center" wrapText="1"/>
    </xf>
    <xf numFmtId="165" fontId="7" fillId="2" borderId="1" xfId="5" applyNumberFormat="1" applyFont="1" applyFill="1" applyBorder="1" applyAlignment="1">
      <alignment vertical="center"/>
    </xf>
    <xf numFmtId="165" fontId="7" fillId="2" borderId="1" xfId="5" applyNumberFormat="1" applyFont="1" applyFill="1" applyBorder="1"/>
    <xf numFmtId="165" fontId="18" fillId="0" borderId="1" xfId="5" applyNumberFormat="1" applyFont="1" applyFill="1" applyBorder="1" applyAlignment="1">
      <alignment vertical="center"/>
    </xf>
    <xf numFmtId="3" fontId="27" fillId="0" borderId="1" xfId="5" applyNumberFormat="1" applyFont="1" applyFill="1" applyBorder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5" fontId="6" fillId="0" borderId="0" xfId="0" applyNumberFormat="1" applyFont="1"/>
    <xf numFmtId="165" fontId="5" fillId="0" borderId="6" xfId="0" applyNumberFormat="1" applyFont="1" applyBorder="1"/>
    <xf numFmtId="165" fontId="5" fillId="0" borderId="12" xfId="0" applyNumberFormat="1" applyFont="1" applyBorder="1"/>
    <xf numFmtId="165" fontId="5" fillId="0" borderId="1" xfId="0" applyNumberFormat="1" applyFont="1" applyBorder="1"/>
    <xf numFmtId="165" fontId="6" fillId="0" borderId="1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0" fontId="29" fillId="0" borderId="1" xfId="5" applyFont="1" applyBorder="1" applyAlignment="1">
      <alignment horizontal="center"/>
    </xf>
    <xf numFmtId="0" fontId="30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/>
    </xf>
    <xf numFmtId="0" fontId="32" fillId="0" borderId="0" xfId="5" applyFont="1"/>
    <xf numFmtId="0" fontId="18" fillId="0" borderId="17" xfId="5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27" fillId="0" borderId="0" xfId="5" applyNumberFormat="1" applyFont="1" applyFill="1" applyBorder="1" applyAlignment="1">
      <alignment horizontal="right" vertical="center"/>
    </xf>
    <xf numFmtId="0" fontId="27" fillId="0" borderId="1" xfId="5" applyFont="1" applyFill="1" applyBorder="1" applyAlignment="1">
      <alignment horizontal="center"/>
    </xf>
    <xf numFmtId="0" fontId="33" fillId="0" borderId="1" xfId="5" applyFont="1" applyFill="1" applyBorder="1" applyAlignment="1">
      <alignment horizontal="center" vertical="center"/>
    </xf>
    <xf numFmtId="165" fontId="18" fillId="0" borderId="1" xfId="5" applyNumberFormat="1" applyFont="1" applyFill="1" applyBorder="1" applyAlignment="1">
      <alignment horizontal="right" vertical="center"/>
    </xf>
    <xf numFmtId="3" fontId="18" fillId="0" borderId="0" xfId="5" applyNumberFormat="1" applyFont="1" applyFill="1" applyBorder="1" applyAlignment="1">
      <alignment horizontal="right" vertical="center"/>
    </xf>
    <xf numFmtId="1" fontId="18" fillId="0" borderId="1" xfId="5" applyNumberFormat="1" applyFont="1" applyFill="1" applyBorder="1" applyAlignment="1">
      <alignment horizontal="right" vertical="center"/>
    </xf>
    <xf numFmtId="0" fontId="33" fillId="0" borderId="1" xfId="5" applyFont="1" applyFill="1" applyBorder="1" applyAlignment="1">
      <alignment horizontal="left" vertical="center"/>
    </xf>
    <xf numFmtId="0" fontId="26" fillId="0" borderId="1" xfId="5" applyFont="1" applyFill="1" applyBorder="1" applyAlignment="1">
      <alignment horizontal="left" vertical="center"/>
    </xf>
    <xf numFmtId="1" fontId="27" fillId="0" borderId="1" xfId="5" applyNumberFormat="1" applyFont="1" applyFill="1" applyBorder="1" applyAlignment="1">
      <alignment horizontal="right" vertical="center"/>
    </xf>
    <xf numFmtId="0" fontId="5" fillId="0" borderId="18" xfId="0" applyFont="1" applyBorder="1"/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/>
    <xf numFmtId="0" fontId="10" fillId="0" borderId="0" xfId="0" applyFont="1"/>
    <xf numFmtId="0" fontId="10" fillId="2" borderId="1" xfId="5" applyFont="1" applyFill="1" applyBorder="1" applyAlignment="1">
      <alignment horizontal="center"/>
    </xf>
    <xf numFmtId="0" fontId="27" fillId="0" borderId="4" xfId="5" applyFont="1" applyFill="1" applyBorder="1" applyAlignment="1">
      <alignment horizontal="center" vertical="center" wrapText="1"/>
    </xf>
    <xf numFmtId="3" fontId="3" fillId="2" borderId="16" xfId="5" applyNumberFormat="1" applyFill="1" applyBorder="1"/>
    <xf numFmtId="3" fontId="3" fillId="0" borderId="16" xfId="5" applyNumberFormat="1" applyBorder="1"/>
    <xf numFmtId="0" fontId="18" fillId="2" borderId="16" xfId="5" applyFont="1" applyFill="1" applyBorder="1"/>
    <xf numFmtId="0" fontId="27" fillId="2" borderId="0" xfId="5" applyFont="1" applyFill="1"/>
    <xf numFmtId="165" fontId="27" fillId="2" borderId="1" xfId="5" applyNumberFormat="1" applyFont="1" applyFill="1" applyBorder="1"/>
    <xf numFmtId="0" fontId="6" fillId="0" borderId="0" xfId="0" applyFont="1" applyAlignment="1">
      <alignment horizontal="center" vertical="center"/>
    </xf>
    <xf numFmtId="165" fontId="18" fillId="0" borderId="0" xfId="5" applyNumberFormat="1" applyFont="1" applyFill="1"/>
    <xf numFmtId="3" fontId="5" fillId="0" borderId="18" xfId="0" applyNumberFormat="1" applyFont="1" applyBorder="1" applyAlignment="1">
      <alignment horizontal="center" vertical="center"/>
    </xf>
    <xf numFmtId="165" fontId="5" fillId="0" borderId="18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21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6" fillId="0" borderId="20" xfId="0" applyNumberFormat="1" applyFont="1" applyBorder="1"/>
    <xf numFmtId="165" fontId="5" fillId="0" borderId="1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5" fillId="0" borderId="14" xfId="0" applyNumberFormat="1" applyFont="1" applyBorder="1"/>
    <xf numFmtId="3" fontId="5" fillId="0" borderId="18" xfId="0" applyNumberFormat="1" applyFont="1" applyBorder="1" applyAlignment="1">
      <alignment horizontal="center"/>
    </xf>
    <xf numFmtId="0" fontId="18" fillId="2" borderId="16" xfId="5" applyFont="1" applyFill="1" applyBorder="1" applyAlignment="1">
      <alignment wrapText="1"/>
    </xf>
    <xf numFmtId="0" fontId="33" fillId="2" borderId="1" xfId="5" applyFont="1" applyFill="1" applyBorder="1" applyAlignment="1">
      <alignment horizontal="center" vertical="center"/>
    </xf>
    <xf numFmtId="0" fontId="14" fillId="0" borderId="0" xfId="5" applyFont="1"/>
    <xf numFmtId="165" fontId="14" fillId="2" borderId="1" xfId="5" applyNumberFormat="1" applyFont="1" applyFill="1" applyBorder="1"/>
    <xf numFmtId="0" fontId="20" fillId="0" borderId="1" xfId="5" applyFont="1" applyBorder="1" applyAlignment="1">
      <alignment horizontal="center" vertical="center" wrapText="1"/>
    </xf>
    <xf numFmtId="165" fontId="20" fillId="2" borderId="1" xfId="5" applyNumberFormat="1" applyFont="1" applyFill="1" applyBorder="1" applyAlignment="1">
      <alignment vertical="center"/>
    </xf>
    <xf numFmtId="165" fontId="20" fillId="2" borderId="1" xfId="5" applyNumberFormat="1" applyFont="1" applyFill="1" applyBorder="1" applyAlignment="1">
      <alignment horizontal="right" vertical="center"/>
    </xf>
    <xf numFmtId="165" fontId="10" fillId="2" borderId="1" xfId="5" applyNumberFormat="1" applyFont="1" applyFill="1" applyBorder="1" applyAlignment="1">
      <alignment vertical="center"/>
    </xf>
    <xf numFmtId="165" fontId="10" fillId="2" borderId="1" xfId="6" applyNumberFormat="1" applyFont="1" applyFill="1" applyBorder="1" applyAlignment="1">
      <alignment horizontal="right" vertical="center"/>
    </xf>
    <xf numFmtId="0" fontId="34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horizontal="center" vertical="center"/>
    </xf>
    <xf numFmtId="165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/>
    </xf>
    <xf numFmtId="0" fontId="12" fillId="0" borderId="0" xfId="5" applyFont="1" applyFill="1"/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5" fontId="6" fillId="0" borderId="4" xfId="0" applyNumberFormat="1" applyFont="1" applyFill="1" applyBorder="1"/>
    <xf numFmtId="165" fontId="5" fillId="0" borderId="4" xfId="0" applyNumberFormat="1" applyFont="1" applyFill="1" applyBorder="1"/>
    <xf numFmtId="165" fontId="6" fillId="0" borderId="1" xfId="0" applyNumberFormat="1" applyFont="1" applyFill="1" applyBorder="1"/>
    <xf numFmtId="165" fontId="5" fillId="0" borderId="1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27" fillId="2" borderId="1" xfId="5" applyFont="1" applyFill="1" applyBorder="1" applyAlignment="1">
      <alignment horizontal="center" vertical="center"/>
    </xf>
    <xf numFmtId="0" fontId="27" fillId="2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/>
    </xf>
    <xf numFmtId="0" fontId="35" fillId="0" borderId="1" xfId="5" applyFont="1" applyBorder="1" applyAlignment="1">
      <alignment horizontal="center" vertical="center"/>
    </xf>
    <xf numFmtId="0" fontId="1" fillId="0" borderId="0" xfId="5" applyFont="1"/>
    <xf numFmtId="0" fontId="7" fillId="0" borderId="1" xfId="5" applyFont="1" applyBorder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18" fillId="0" borderId="4" xfId="5" applyFont="1" applyFill="1" applyBorder="1" applyAlignment="1">
      <alignment horizontal="center" vertical="center" wrapText="1"/>
    </xf>
    <xf numFmtId="0" fontId="26" fillId="2" borderId="4" xfId="5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5" fontId="6" fillId="0" borderId="26" xfId="0" applyNumberFormat="1" applyFont="1" applyBorder="1"/>
    <xf numFmtId="0" fontId="6" fillId="0" borderId="16" xfId="0" applyFont="1" applyBorder="1"/>
    <xf numFmtId="165" fontId="5" fillId="0" borderId="27" xfId="0" applyNumberFormat="1" applyFont="1" applyBorder="1"/>
    <xf numFmtId="165" fontId="6" fillId="0" borderId="28" xfId="0" applyNumberFormat="1" applyFont="1" applyBorder="1"/>
    <xf numFmtId="0" fontId="6" fillId="0" borderId="15" xfId="0" applyFont="1" applyBorder="1"/>
    <xf numFmtId="0" fontId="6" fillId="0" borderId="21" xfId="0" applyFont="1" applyBorder="1"/>
    <xf numFmtId="0" fontId="5" fillId="0" borderId="14" xfId="0" applyFont="1" applyBorder="1"/>
    <xf numFmtId="0" fontId="5" fillId="0" borderId="29" xfId="0" applyFont="1" applyBorder="1"/>
    <xf numFmtId="0" fontId="5" fillId="0" borderId="14" xfId="0" applyFont="1" applyBorder="1" applyAlignment="1">
      <alignment horizontal="center" vertical="center" wrapText="1"/>
    </xf>
    <xf numFmtId="165" fontId="6" fillId="0" borderId="24" xfId="0" applyNumberFormat="1" applyFont="1" applyBorder="1"/>
    <xf numFmtId="165" fontId="6" fillId="0" borderId="14" xfId="0" applyNumberFormat="1" applyFont="1" applyBorder="1"/>
    <xf numFmtId="0" fontId="10" fillId="0" borderId="1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5" fontId="5" fillId="0" borderId="14" xfId="0" applyNumberFormat="1" applyFont="1" applyFill="1" applyBorder="1"/>
    <xf numFmtId="165" fontId="6" fillId="0" borderId="16" xfId="0" applyNumberFormat="1" applyFont="1" applyFill="1" applyBorder="1"/>
    <xf numFmtId="165" fontId="6" fillId="0" borderId="15" xfId="0" applyNumberFormat="1" applyFont="1" applyFill="1" applyBorder="1"/>
    <xf numFmtId="165" fontId="6" fillId="0" borderId="26" xfId="0" applyNumberFormat="1" applyFont="1" applyFill="1" applyBorder="1"/>
    <xf numFmtId="165" fontId="6" fillId="0" borderId="14" xfId="0" applyNumberFormat="1" applyFont="1" applyFill="1" applyBorder="1"/>
    <xf numFmtId="165" fontId="6" fillId="0" borderId="21" xfId="0" applyNumberFormat="1" applyFont="1" applyFill="1" applyBorder="1"/>
    <xf numFmtId="0" fontId="5" fillId="0" borderId="14" xfId="0" applyFont="1" applyBorder="1" applyAlignment="1">
      <alignment horizontal="center"/>
    </xf>
    <xf numFmtId="10" fontId="10" fillId="0" borderId="1" xfId="5" applyNumberFormat="1" applyFont="1" applyBorder="1"/>
    <xf numFmtId="0" fontId="23" fillId="2" borderId="0" xfId="5" applyFont="1" applyFill="1" applyAlignment="1">
      <alignment horizontal="center"/>
    </xf>
    <xf numFmtId="0" fontId="23" fillId="2" borderId="1" xfId="5" applyFont="1" applyFill="1" applyBorder="1" applyAlignment="1">
      <alignment horizontal="center" wrapText="1"/>
    </xf>
    <xf numFmtId="165" fontId="18" fillId="2" borderId="1" xfId="5" applyNumberFormat="1" applyFont="1" applyFill="1" applyBorder="1" applyAlignment="1">
      <alignment vertical="center"/>
    </xf>
    <xf numFmtId="165" fontId="12" fillId="2" borderId="1" xfId="5" applyNumberFormat="1" applyFont="1" applyFill="1" applyBorder="1" applyAlignment="1">
      <alignment vertical="center"/>
    </xf>
    <xf numFmtId="164" fontId="27" fillId="2" borderId="1" xfId="5" applyNumberFormat="1" applyFont="1" applyFill="1" applyBorder="1"/>
    <xf numFmtId="10" fontId="18" fillId="2" borderId="1" xfId="5" applyNumberFormat="1" applyFont="1" applyFill="1" applyBorder="1"/>
    <xf numFmtId="10" fontId="27" fillId="2" borderId="1" xfId="5" applyNumberFormat="1" applyFont="1" applyFill="1" applyBorder="1"/>
    <xf numFmtId="10" fontId="3" fillId="2" borderId="1" xfId="5" applyNumberFormat="1" applyFill="1" applyBorder="1"/>
    <xf numFmtId="0" fontId="18" fillId="0" borderId="17" xfId="5" applyFont="1" applyFill="1" applyBorder="1" applyAlignment="1">
      <alignment horizontal="center"/>
    </xf>
    <xf numFmtId="0" fontId="18" fillId="2" borderId="4" xfId="5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vertical="center" wrapText="1"/>
    </xf>
    <xf numFmtId="10" fontId="36" fillId="2" borderId="1" xfId="5" applyNumberFormat="1" applyFont="1" applyFill="1" applyBorder="1"/>
    <xf numFmtId="10" fontId="14" fillId="2" borderId="1" xfId="5" applyNumberFormat="1" applyFont="1" applyFill="1" applyBorder="1"/>
    <xf numFmtId="0" fontId="27" fillId="2" borderId="1" xfId="5" applyFont="1" applyFill="1" applyBorder="1" applyAlignment="1">
      <alignment horizontal="center" vertical="center" wrapText="1"/>
    </xf>
    <xf numFmtId="1" fontId="18" fillId="0" borderId="0" xfId="1" applyNumberFormat="1" applyFont="1" applyFill="1"/>
    <xf numFmtId="0" fontId="18" fillId="0" borderId="0" xfId="1" applyFont="1" applyFill="1"/>
    <xf numFmtId="165" fontId="18" fillId="0" borderId="0" xfId="1" applyNumberFormat="1" applyFont="1" applyFill="1"/>
    <xf numFmtId="0" fontId="23" fillId="0" borderId="1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/>
    </xf>
    <xf numFmtId="165" fontId="27" fillId="0" borderId="1" xfId="1" applyNumberFormat="1" applyFont="1" applyFill="1" applyBorder="1" applyAlignment="1">
      <alignment horizontal="center" vertical="center" wrapText="1"/>
    </xf>
    <xf numFmtId="165" fontId="27" fillId="0" borderId="4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/>
    <xf numFmtId="0" fontId="27" fillId="0" borderId="0" xfId="1" applyFont="1" applyFill="1"/>
    <xf numFmtId="0" fontId="12" fillId="0" borderId="1" xfId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vertical="center"/>
    </xf>
    <xf numFmtId="165" fontId="27" fillId="0" borderId="1" xfId="1" applyNumberFormat="1" applyFont="1" applyFill="1" applyBorder="1" applyAlignment="1">
      <alignment horizontal="right" vertical="center"/>
    </xf>
    <xf numFmtId="0" fontId="18" fillId="0" borderId="1" xfId="1" applyFont="1" applyFill="1" applyBorder="1"/>
    <xf numFmtId="0" fontId="18" fillId="0" borderId="0" xfId="1" applyFont="1" applyFill="1" applyBorder="1"/>
    <xf numFmtId="165" fontId="12" fillId="3" borderId="1" xfId="2" applyNumberFormat="1" applyFont="1" applyFill="1" applyBorder="1" applyAlignment="1">
      <alignment horizontal="right" vertical="center"/>
    </xf>
    <xf numFmtId="165" fontId="12" fillId="4" borderId="1" xfId="2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vertical="center" wrapText="1"/>
    </xf>
    <xf numFmtId="165" fontId="12" fillId="6" borderId="1" xfId="2" applyNumberFormat="1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center"/>
    </xf>
    <xf numFmtId="165" fontId="18" fillId="0" borderId="1" xfId="1" applyNumberFormat="1" applyFont="1" applyFill="1" applyBorder="1"/>
    <xf numFmtId="0" fontId="27" fillId="0" borderId="1" xfId="1" applyFont="1" applyFill="1" applyBorder="1" applyAlignment="1">
      <alignment vertical="center"/>
    </xf>
    <xf numFmtId="165" fontId="28" fillId="0" borderId="1" xfId="1" applyNumberFormat="1" applyFont="1" applyFill="1" applyBorder="1" applyAlignment="1">
      <alignment vertical="center"/>
    </xf>
    <xf numFmtId="3" fontId="27" fillId="0" borderId="1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165" fontId="18" fillId="0" borderId="1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165" fontId="28" fillId="0" borderId="9" xfId="1" applyNumberFormat="1" applyFont="1" applyFill="1" applyBorder="1" applyAlignment="1">
      <alignment vertical="center"/>
    </xf>
    <xf numFmtId="3" fontId="28" fillId="0" borderId="0" xfId="1" applyNumberFormat="1" applyFont="1" applyFill="1" applyBorder="1" applyAlignment="1">
      <alignment vertical="center"/>
    </xf>
    <xf numFmtId="3" fontId="28" fillId="0" borderId="1" xfId="1" applyNumberFormat="1" applyFont="1" applyFill="1" applyBorder="1" applyAlignment="1">
      <alignment vertical="center"/>
    </xf>
    <xf numFmtId="0" fontId="27" fillId="0" borderId="1" xfId="1" applyFont="1" applyFill="1" applyBorder="1"/>
    <xf numFmtId="165" fontId="27" fillId="0" borderId="1" xfId="1" applyNumberFormat="1" applyFont="1" applyFill="1" applyBorder="1"/>
    <xf numFmtId="165" fontId="12" fillId="7" borderId="1" xfId="2" applyNumberFormat="1" applyFont="1" applyFill="1" applyBorder="1" applyAlignment="1">
      <alignment horizontal="right" vertical="center"/>
    </xf>
    <xf numFmtId="0" fontId="27" fillId="2" borderId="1" xfId="5" applyFont="1" applyFill="1" applyBorder="1"/>
    <xf numFmtId="10" fontId="27" fillId="0" borderId="1" xfId="1" applyNumberFormat="1" applyFont="1" applyFill="1" applyBorder="1" applyAlignment="1">
      <alignment horizontal="center" vertical="center" wrapText="1"/>
    </xf>
    <xf numFmtId="10" fontId="18" fillId="0" borderId="1" xfId="1" applyNumberFormat="1" applyFont="1" applyFill="1" applyBorder="1"/>
    <xf numFmtId="10" fontId="27" fillId="0" borderId="0" xfId="1" applyNumberFormat="1" applyFont="1" applyFill="1"/>
    <xf numFmtId="10" fontId="27" fillId="0" borderId="1" xfId="1" applyNumberFormat="1" applyFont="1" applyFill="1" applyBorder="1"/>
    <xf numFmtId="10" fontId="7" fillId="0" borderId="1" xfId="5" applyNumberFormat="1" applyFont="1" applyBorder="1"/>
    <xf numFmtId="10" fontId="18" fillId="0" borderId="1" xfId="5" applyNumberFormat="1" applyFont="1" applyFill="1" applyBorder="1" applyAlignment="1">
      <alignment horizontal="center" vertical="center" wrapText="1"/>
    </xf>
    <xf numFmtId="10" fontId="27" fillId="0" borderId="1" xfId="5" applyNumberFormat="1" applyFont="1" applyFill="1" applyBorder="1" applyAlignment="1">
      <alignment horizontal="right" vertical="center"/>
    </xf>
    <xf numFmtId="10" fontId="18" fillId="0" borderId="0" xfId="5" applyNumberFormat="1" applyFont="1" applyFill="1"/>
    <xf numFmtId="165" fontId="27" fillId="0" borderId="1" xfId="1" applyNumberFormat="1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5" fontId="18" fillId="7" borderId="0" xfId="5" applyNumberFormat="1" applyFont="1" applyFill="1"/>
    <xf numFmtId="10" fontId="6" fillId="0" borderId="0" xfId="0" applyNumberFormat="1" applyFont="1" applyBorder="1"/>
    <xf numFmtId="10" fontId="6" fillId="0" borderId="1" xfId="0" applyNumberFormat="1" applyFont="1" applyBorder="1"/>
    <xf numFmtId="10" fontId="6" fillId="0" borderId="0" xfId="0" applyNumberFormat="1" applyFont="1" applyBorder="1" applyAlignment="1">
      <alignment horizontal="center" vertical="center"/>
    </xf>
    <xf numFmtId="165" fontId="27" fillId="0" borderId="15" xfId="5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/>
    <xf numFmtId="1" fontId="5" fillId="0" borderId="9" xfId="0" applyNumberFormat="1" applyFont="1" applyBorder="1" applyAlignment="1">
      <alignment horizontal="center" vertical="center"/>
    </xf>
    <xf numFmtId="10" fontId="5" fillId="0" borderId="4" xfId="0" applyNumberFormat="1" applyFont="1" applyBorder="1"/>
    <xf numFmtId="10" fontId="10" fillId="0" borderId="12" xfId="1" applyNumberFormat="1" applyFont="1" applyFill="1" applyBorder="1" applyAlignment="1">
      <alignment horizontal="center" vertical="center" wrapText="1"/>
    </xf>
    <xf numFmtId="10" fontId="6" fillId="0" borderId="4" xfId="0" applyNumberFormat="1" applyFont="1" applyBorder="1"/>
    <xf numFmtId="10" fontId="5" fillId="0" borderId="12" xfId="0" applyNumberFormat="1" applyFont="1" applyBorder="1"/>
    <xf numFmtId="10" fontId="5" fillId="0" borderId="9" xfId="0" applyNumberFormat="1" applyFont="1" applyBorder="1"/>
    <xf numFmtId="10" fontId="6" fillId="0" borderId="9" xfId="0" applyNumberFormat="1" applyFont="1" applyBorder="1"/>
    <xf numFmtId="10" fontId="5" fillId="0" borderId="13" xfId="0" applyNumberFormat="1" applyFont="1" applyBorder="1"/>
    <xf numFmtId="165" fontId="27" fillId="0" borderId="12" xfId="5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0" fontId="6" fillId="0" borderId="13" xfId="0" applyNumberFormat="1" applyFont="1" applyBorder="1"/>
    <xf numFmtId="10" fontId="6" fillId="0" borderId="12" xfId="0" applyNumberFormat="1" applyFont="1" applyBorder="1"/>
    <xf numFmtId="165" fontId="27" fillId="0" borderId="1" xfId="5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0" fontId="5" fillId="0" borderId="0" xfId="0" applyNumberFormat="1" applyFont="1"/>
    <xf numFmtId="10" fontId="6" fillId="0" borderId="0" xfId="0" applyNumberFormat="1" applyFont="1"/>
    <xf numFmtId="10" fontId="6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/>
    <xf numFmtId="10" fontId="10" fillId="0" borderId="0" xfId="0" applyNumberFormat="1" applyFont="1"/>
    <xf numFmtId="165" fontId="10" fillId="0" borderId="0" xfId="0" applyNumberFormat="1" applyFont="1" applyAlignment="1">
      <alignment horizontal="right"/>
    </xf>
    <xf numFmtId="3" fontId="10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10" fillId="0" borderId="18" xfId="0" applyNumberFormat="1" applyFont="1" applyBorder="1"/>
    <xf numFmtId="165" fontId="10" fillId="0" borderId="18" xfId="0" applyNumberFormat="1" applyFont="1" applyBorder="1" applyAlignment="1"/>
    <xf numFmtId="165" fontId="7" fillId="0" borderId="15" xfId="0" applyNumberFormat="1" applyFont="1" applyBorder="1"/>
    <xf numFmtId="165" fontId="7" fillId="0" borderId="1" xfId="0" applyNumberFormat="1" applyFont="1" applyBorder="1" applyAlignment="1"/>
    <xf numFmtId="165" fontId="7" fillId="0" borderId="16" xfId="0" applyNumberFormat="1" applyFont="1" applyBorder="1"/>
    <xf numFmtId="10" fontId="7" fillId="0" borderId="1" xfId="0" applyNumberFormat="1" applyFont="1" applyBorder="1"/>
    <xf numFmtId="165" fontId="7" fillId="0" borderId="21" xfId="0" applyNumberFormat="1" applyFont="1" applyBorder="1"/>
    <xf numFmtId="165" fontId="10" fillId="0" borderId="22" xfId="0" applyNumberFormat="1" applyFont="1" applyBorder="1"/>
    <xf numFmtId="165" fontId="10" fillId="0" borderId="22" xfId="0" applyNumberFormat="1" applyFont="1" applyBorder="1" applyAlignment="1"/>
    <xf numFmtId="0" fontId="7" fillId="0" borderId="0" xfId="0" applyFont="1"/>
    <xf numFmtId="165" fontId="7" fillId="0" borderId="0" xfId="0" applyNumberFormat="1" applyFont="1" applyAlignment="1"/>
    <xf numFmtId="10" fontId="7" fillId="0" borderId="0" xfId="0" applyNumberFormat="1" applyFont="1"/>
    <xf numFmtId="165" fontId="10" fillId="0" borderId="0" xfId="0" applyNumberFormat="1" applyFont="1"/>
    <xf numFmtId="165" fontId="10" fillId="0" borderId="23" xfId="0" applyNumberFormat="1" applyFont="1" applyBorder="1"/>
    <xf numFmtId="165" fontId="7" fillId="0" borderId="20" xfId="0" applyNumberFormat="1" applyFont="1" applyBorder="1"/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65" fontId="10" fillId="0" borderId="14" xfId="0" applyNumberFormat="1" applyFont="1" applyBorder="1"/>
    <xf numFmtId="165" fontId="7" fillId="0" borderId="0" xfId="0" applyNumberFormat="1" applyFont="1"/>
    <xf numFmtId="1" fontId="10" fillId="0" borderId="12" xfId="0" applyNumberFormat="1" applyFont="1" applyBorder="1" applyAlignment="1">
      <alignment horizontal="center" vertical="center"/>
    </xf>
    <xf numFmtId="10" fontId="7" fillId="0" borderId="4" xfId="0" applyNumberFormat="1" applyFont="1" applyBorder="1"/>
    <xf numFmtId="10" fontId="10" fillId="0" borderId="12" xfId="0" applyNumberFormat="1" applyFont="1" applyBorder="1"/>
    <xf numFmtId="10" fontId="7" fillId="0" borderId="9" xfId="0" applyNumberFormat="1" applyFont="1" applyBorder="1"/>
    <xf numFmtId="165" fontId="7" fillId="0" borderId="9" xfId="0" applyNumberFormat="1" applyFont="1" applyBorder="1" applyAlignment="1"/>
    <xf numFmtId="165" fontId="10" fillId="0" borderId="4" xfId="0" applyNumberFormat="1" applyFont="1" applyBorder="1" applyAlignment="1"/>
    <xf numFmtId="165" fontId="10" fillId="0" borderId="12" xfId="0" applyNumberFormat="1" applyFont="1" applyBorder="1" applyAlignment="1"/>
    <xf numFmtId="10" fontId="10" fillId="0" borderId="13" xfId="0" applyNumberFormat="1" applyFont="1" applyBorder="1"/>
    <xf numFmtId="10" fontId="7" fillId="0" borderId="12" xfId="0" applyNumberFormat="1" applyFont="1" applyBorder="1"/>
    <xf numFmtId="165" fontId="7" fillId="0" borderId="12" xfId="0" applyNumberFormat="1" applyFont="1" applyBorder="1" applyAlignment="1"/>
    <xf numFmtId="10" fontId="7" fillId="0" borderId="13" xfId="0" applyNumberFormat="1" applyFont="1" applyBorder="1"/>
    <xf numFmtId="10" fontId="7" fillId="0" borderId="0" xfId="0" applyNumberFormat="1" applyFont="1" applyBorder="1"/>
    <xf numFmtId="165" fontId="10" fillId="0" borderId="12" xfId="0" applyNumberFormat="1" applyFont="1" applyBorder="1"/>
    <xf numFmtId="165" fontId="5" fillId="0" borderId="20" xfId="0" applyNumberFormat="1" applyFont="1" applyFill="1" applyBorder="1"/>
    <xf numFmtId="165" fontId="5" fillId="0" borderId="15" xfId="0" applyNumberFormat="1" applyFont="1" applyFill="1" applyBorder="1"/>
    <xf numFmtId="0" fontId="5" fillId="0" borderId="27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65" fontId="5" fillId="0" borderId="13" xfId="0" applyNumberFormat="1" applyFont="1" applyBorder="1"/>
    <xf numFmtId="165" fontId="5" fillId="0" borderId="12" xfId="0" applyNumberFormat="1" applyFont="1" applyFill="1" applyBorder="1"/>
    <xf numFmtId="10" fontId="10" fillId="0" borderId="31" xfId="1" applyNumberFormat="1" applyFont="1" applyFill="1" applyBorder="1" applyAlignment="1">
      <alignment horizontal="center" vertical="center" wrapText="1"/>
    </xf>
    <xf numFmtId="10" fontId="6" fillId="0" borderId="32" xfId="0" applyNumberFormat="1" applyFont="1" applyBorder="1"/>
    <xf numFmtId="49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Fill="1"/>
    <xf numFmtId="49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/>
    </xf>
    <xf numFmtId="0" fontId="10" fillId="0" borderId="6" xfId="0" applyFont="1" applyBorder="1"/>
    <xf numFmtId="165" fontId="10" fillId="0" borderId="14" xfId="0" applyNumberFormat="1" applyFont="1" applyFill="1" applyBorder="1"/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/>
    <xf numFmtId="165" fontId="7" fillId="0" borderId="16" xfId="0" applyNumberFormat="1" applyFont="1" applyFill="1" applyBorder="1"/>
    <xf numFmtId="165" fontId="7" fillId="0" borderId="1" xfId="0" applyNumberFormat="1" applyFont="1" applyBorder="1"/>
    <xf numFmtId="49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165" fontId="7" fillId="0" borderId="15" xfId="0" applyNumberFormat="1" applyFont="1" applyFill="1" applyBorder="1"/>
    <xf numFmtId="0" fontId="7" fillId="0" borderId="16" xfId="0" applyFont="1" applyFill="1" applyBorder="1"/>
    <xf numFmtId="49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165" fontId="7" fillId="0" borderId="9" xfId="0" applyNumberFormat="1" applyFont="1" applyBorder="1"/>
    <xf numFmtId="0" fontId="10" fillId="0" borderId="18" xfId="0" applyFont="1" applyBorder="1"/>
    <xf numFmtId="49" fontId="10" fillId="0" borderId="10" xfId="0" applyNumberFormat="1" applyFont="1" applyBorder="1" applyAlignment="1">
      <alignment horizontal="center"/>
    </xf>
    <xf numFmtId="0" fontId="10" fillId="0" borderId="11" xfId="0" applyFont="1" applyBorder="1"/>
    <xf numFmtId="165" fontId="10" fillId="0" borderId="13" xfId="0" applyNumberFormat="1" applyFont="1" applyBorder="1"/>
    <xf numFmtId="165" fontId="10" fillId="0" borderId="1" xfId="0" applyNumberFormat="1" applyFont="1" applyBorder="1"/>
    <xf numFmtId="165" fontId="7" fillId="0" borderId="26" xfId="0" applyNumberFormat="1" applyFont="1" applyFill="1" applyBorder="1"/>
    <xf numFmtId="165" fontId="10" fillId="0" borderId="18" xfId="0" applyNumberFormat="1" applyFont="1" applyFill="1" applyBorder="1"/>
    <xf numFmtId="0" fontId="10" fillId="0" borderId="14" xfId="0" applyFont="1" applyFill="1" applyBorder="1"/>
    <xf numFmtId="0" fontId="7" fillId="0" borderId="15" xfId="0" applyFont="1" applyFill="1" applyBorder="1"/>
    <xf numFmtId="165" fontId="7" fillId="0" borderId="4" xfId="0" applyNumberFormat="1" applyFont="1" applyBorder="1"/>
    <xf numFmtId="0" fontId="7" fillId="0" borderId="21" xfId="0" applyFont="1" applyFill="1" applyBorder="1"/>
    <xf numFmtId="165" fontId="10" fillId="0" borderId="12" xfId="0" applyNumberFormat="1" applyFont="1" applyFill="1" applyBorder="1"/>
    <xf numFmtId="0" fontId="10" fillId="0" borderId="6" xfId="0" applyFont="1" applyBorder="1" applyAlignment="1">
      <alignment vertical="center" wrapText="1"/>
    </xf>
    <xf numFmtId="165" fontId="10" fillId="0" borderId="18" xfId="0" applyNumberFormat="1" applyFont="1" applyBorder="1" applyAlignment="1">
      <alignment vertical="center" wrapText="1"/>
    </xf>
    <xf numFmtId="165" fontId="10" fillId="0" borderId="14" xfId="0" applyNumberFormat="1" applyFont="1" applyFill="1" applyBorder="1" applyAlignment="1">
      <alignment vertical="center" wrapText="1"/>
    </xf>
    <xf numFmtId="165" fontId="10" fillId="0" borderId="1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Fill="1"/>
    <xf numFmtId="49" fontId="10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9" xfId="0" applyNumberFormat="1" applyFont="1" applyBorder="1" applyAlignment="1">
      <alignment horizontal="center"/>
    </xf>
    <xf numFmtId="165" fontId="7" fillId="0" borderId="21" xfId="0" applyNumberFormat="1" applyFont="1" applyFill="1" applyBorder="1"/>
    <xf numFmtId="49" fontId="10" fillId="0" borderId="14" xfId="0" applyNumberFormat="1" applyFont="1" applyBorder="1" applyAlignment="1">
      <alignment horizontal="center"/>
    </xf>
    <xf numFmtId="0" fontId="10" fillId="0" borderId="12" xfId="0" applyFont="1" applyBorder="1"/>
    <xf numFmtId="165" fontId="7" fillId="0" borderId="14" xfId="0" applyNumberFormat="1" applyFont="1" applyFill="1" applyBorder="1"/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/>
    <xf numFmtId="165" fontId="7" fillId="0" borderId="24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165" fontId="7" fillId="0" borderId="12" xfId="0" applyNumberFormat="1" applyFont="1" applyBorder="1"/>
    <xf numFmtId="10" fontId="1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10" fillId="0" borderId="6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165" fontId="10" fillId="0" borderId="4" xfId="0" applyNumberFormat="1" applyFont="1" applyBorder="1"/>
    <xf numFmtId="165" fontId="7" fillId="0" borderId="14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5" xfId="0" applyFont="1" applyBorder="1"/>
    <xf numFmtId="10" fontId="10" fillId="0" borderId="6" xfId="0" applyNumberFormat="1" applyFont="1" applyBorder="1"/>
    <xf numFmtId="3" fontId="7" fillId="0" borderId="0" xfId="0" applyNumberFormat="1" applyFont="1"/>
    <xf numFmtId="0" fontId="10" fillId="0" borderId="33" xfId="0" applyFont="1" applyBorder="1"/>
    <xf numFmtId="165" fontId="10" fillId="0" borderId="15" xfId="0" applyNumberFormat="1" applyFont="1" applyBorder="1"/>
    <xf numFmtId="0" fontId="7" fillId="0" borderId="30" xfId="0" applyFont="1" applyBorder="1"/>
    <xf numFmtId="3" fontId="6" fillId="0" borderId="13" xfId="0" applyNumberFormat="1" applyFont="1" applyBorder="1"/>
    <xf numFmtId="0" fontId="6" fillId="0" borderId="0" xfId="0" applyFont="1" applyAlignment="1">
      <alignment wrapText="1"/>
    </xf>
    <xf numFmtId="4" fontId="18" fillId="0" borderId="1" xfId="5" applyNumberFormat="1" applyFont="1" applyFill="1" applyBorder="1" applyAlignment="1">
      <alignment horizontal="right" vertical="center"/>
    </xf>
    <xf numFmtId="4" fontId="27" fillId="0" borderId="1" xfId="5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165" fontId="33" fillId="0" borderId="1" xfId="6" applyNumberFormat="1" applyFont="1" applyFill="1" applyBorder="1" applyAlignment="1">
      <alignment vertical="center"/>
    </xf>
    <xf numFmtId="0" fontId="6" fillId="0" borderId="1" xfId="0" applyFont="1" applyFill="1" applyBorder="1"/>
    <xf numFmtId="0" fontId="5" fillId="0" borderId="1" xfId="0" applyFont="1" applyBorder="1" applyAlignment="1">
      <alignment horizontal="right"/>
    </xf>
    <xf numFmtId="0" fontId="6" fillId="0" borderId="9" xfId="0" applyFont="1" applyBorder="1" applyAlignment="1">
      <alignment wrapText="1"/>
    </xf>
    <xf numFmtId="165" fontId="12" fillId="5" borderId="1" xfId="2" applyNumberFormat="1" applyFont="1" applyFill="1" applyBorder="1" applyAlignment="1">
      <alignment vertical="center"/>
    </xf>
    <xf numFmtId="165" fontId="12" fillId="6" borderId="1" xfId="2" applyNumberFormat="1" applyFont="1" applyFill="1" applyBorder="1" applyAlignment="1">
      <alignment vertical="center"/>
    </xf>
    <xf numFmtId="0" fontId="23" fillId="8" borderId="1" xfId="1" applyFont="1" applyFill="1" applyBorder="1" applyAlignment="1">
      <alignment horizontal="center"/>
    </xf>
    <xf numFmtId="165" fontId="27" fillId="4" borderId="1" xfId="1" applyNumberFormat="1" applyFont="1" applyFill="1" applyBorder="1" applyAlignment="1">
      <alignment horizontal="right" vertical="center"/>
    </xf>
    <xf numFmtId="165" fontId="27" fillId="5" borderId="1" xfId="1" applyNumberFormat="1" applyFont="1" applyFill="1" applyBorder="1" applyAlignment="1">
      <alignment horizontal="right" vertical="center"/>
    </xf>
    <xf numFmtId="165" fontId="27" fillId="9" borderId="1" xfId="1" applyNumberFormat="1" applyFont="1" applyFill="1" applyBorder="1" applyAlignment="1">
      <alignment horizontal="right" vertical="center"/>
    </xf>
    <xf numFmtId="165" fontId="12" fillId="9" borderId="1" xfId="2" applyNumberFormat="1" applyFont="1" applyFill="1" applyBorder="1" applyAlignment="1">
      <alignment horizontal="right" vertical="center"/>
    </xf>
    <xf numFmtId="165" fontId="12" fillId="9" borderId="1" xfId="2" applyNumberFormat="1" applyFont="1" applyFill="1" applyBorder="1" applyAlignment="1">
      <alignment vertical="center"/>
    </xf>
    <xf numFmtId="165" fontId="27" fillId="10" borderId="1" xfId="1" applyNumberFormat="1" applyFont="1" applyFill="1" applyBorder="1" applyAlignment="1">
      <alignment horizontal="right" vertical="center"/>
    </xf>
    <xf numFmtId="165" fontId="27" fillId="3" borderId="1" xfId="1" applyNumberFormat="1" applyFont="1" applyFill="1" applyBorder="1" applyAlignment="1">
      <alignment horizontal="right" vertical="center"/>
    </xf>
    <xf numFmtId="165" fontId="27" fillId="11" borderId="1" xfId="1" applyNumberFormat="1" applyFont="1" applyFill="1" applyBorder="1" applyAlignment="1">
      <alignment horizontal="right" vertical="center"/>
    </xf>
    <xf numFmtId="165" fontId="28" fillId="9" borderId="1" xfId="5" applyNumberFormat="1" applyFont="1" applyFill="1" applyBorder="1" applyAlignment="1">
      <alignment vertical="center"/>
    </xf>
    <xf numFmtId="165" fontId="28" fillId="9" borderId="1" xfId="5" applyNumberFormat="1" applyFont="1" applyFill="1" applyBorder="1" applyAlignment="1">
      <alignment horizontal="right" vertical="center"/>
    </xf>
    <xf numFmtId="165" fontId="12" fillId="9" borderId="1" xfId="5" applyNumberFormat="1" applyFont="1" applyFill="1" applyBorder="1" applyAlignment="1">
      <alignment horizontal="right" vertical="center"/>
    </xf>
    <xf numFmtId="165" fontId="12" fillId="9" borderId="1" xfId="6" applyNumberFormat="1" applyFont="1" applyFill="1" applyBorder="1" applyAlignment="1">
      <alignment vertical="center"/>
    </xf>
    <xf numFmtId="165" fontId="17" fillId="9" borderId="1" xfId="5" applyNumberFormat="1" applyFont="1" applyFill="1" applyBorder="1" applyAlignment="1">
      <alignment horizontal="right" vertical="center"/>
    </xf>
    <xf numFmtId="165" fontId="27" fillId="9" borderId="1" xfId="5" applyNumberFormat="1" applyFont="1" applyFill="1" applyBorder="1" applyAlignment="1">
      <alignment horizontal="right" vertical="center"/>
    </xf>
    <xf numFmtId="165" fontId="27" fillId="9" borderId="1" xfId="1" applyNumberFormat="1" applyFont="1" applyFill="1" applyBorder="1"/>
    <xf numFmtId="165" fontId="27" fillId="9" borderId="1" xfId="5" applyNumberFormat="1" applyFont="1" applyFill="1" applyBorder="1"/>
    <xf numFmtId="10" fontId="5" fillId="0" borderId="6" xfId="0" applyNumberFormat="1" applyFont="1" applyBorder="1"/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 horizontal="right"/>
    </xf>
    <xf numFmtId="165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165" fontId="5" fillId="0" borderId="13" xfId="0" applyNumberFormat="1" applyFont="1" applyFill="1" applyBorder="1"/>
    <xf numFmtId="3" fontId="6" fillId="0" borderId="7" xfId="0" applyNumberFormat="1" applyFont="1" applyBorder="1"/>
    <xf numFmtId="165" fontId="5" fillId="0" borderId="6" xfId="0" applyNumberFormat="1" applyFont="1" applyFill="1" applyBorder="1"/>
    <xf numFmtId="165" fontId="5" fillId="0" borderId="6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0" fontId="5" fillId="0" borderId="7" xfId="0" applyFont="1" applyBorder="1"/>
    <xf numFmtId="165" fontId="6" fillId="0" borderId="0" xfId="0" applyNumberFormat="1" applyFont="1" applyFill="1" applyBorder="1"/>
    <xf numFmtId="165" fontId="5" fillId="0" borderId="0" xfId="0" applyNumberFormat="1" applyFont="1" applyFill="1" applyBorder="1"/>
    <xf numFmtId="1" fontId="5" fillId="0" borderId="14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/>
    <xf numFmtId="165" fontId="5" fillId="0" borderId="18" xfId="0" applyNumberFormat="1" applyFont="1" applyFill="1" applyBorder="1"/>
    <xf numFmtId="165" fontId="6" fillId="0" borderId="12" xfId="0" applyNumberFormat="1" applyFont="1" applyFill="1" applyBorder="1"/>
    <xf numFmtId="165" fontId="6" fillId="0" borderId="0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18" fillId="0" borderId="0" xfId="1" applyNumberFormat="1" applyFont="1" applyFill="1" applyBorder="1" applyAlignment="1">
      <alignment horizontal="right"/>
    </xf>
    <xf numFmtId="165" fontId="27" fillId="0" borderId="16" xfId="1" applyNumberFormat="1" applyFont="1" applyFill="1" applyBorder="1" applyAlignment="1">
      <alignment horizontal="center" vertical="center" wrapText="1"/>
    </xf>
    <xf numFmtId="165" fontId="27" fillId="0" borderId="25" xfId="1" applyNumberFormat="1" applyFont="1" applyFill="1" applyBorder="1" applyAlignment="1">
      <alignment horizontal="center" vertical="center" wrapText="1"/>
    </xf>
    <xf numFmtId="165" fontId="27" fillId="0" borderId="19" xfId="1" applyNumberFormat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24" fillId="0" borderId="19" xfId="1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right"/>
    </xf>
    <xf numFmtId="0" fontId="17" fillId="0" borderId="16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17" fillId="0" borderId="19" xfId="5" applyFont="1" applyBorder="1" applyAlignment="1">
      <alignment horizontal="center" vertical="center" wrapText="1"/>
    </xf>
    <xf numFmtId="0" fontId="15" fillId="0" borderId="16" xfId="5" applyFont="1" applyBorder="1" applyAlignment="1">
      <alignment horizontal="center" vertical="center" wrapText="1"/>
    </xf>
    <xf numFmtId="0" fontId="15" fillId="0" borderId="25" xfId="5" applyFont="1" applyBorder="1" applyAlignment="1">
      <alignment horizontal="center" vertical="center" wrapText="1"/>
    </xf>
    <xf numFmtId="0" fontId="15" fillId="0" borderId="19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7" fillId="2" borderId="16" xfId="5" applyFont="1" applyFill="1" applyBorder="1" applyAlignment="1">
      <alignment horizontal="center" vertical="center" wrapText="1"/>
    </xf>
    <xf numFmtId="0" fontId="17" fillId="2" borderId="25" xfId="5" applyFont="1" applyFill="1" applyBorder="1" applyAlignment="1">
      <alignment horizontal="center" vertical="center" wrapText="1"/>
    </xf>
    <xf numFmtId="0" fontId="17" fillId="2" borderId="19" xfId="5" applyFont="1" applyFill="1" applyBorder="1" applyAlignment="1">
      <alignment horizontal="center" vertical="center" wrapText="1"/>
    </xf>
    <xf numFmtId="0" fontId="2" fillId="2" borderId="17" xfId="5" applyFont="1" applyFill="1" applyBorder="1" applyAlignment="1">
      <alignment horizontal="right"/>
    </xf>
    <xf numFmtId="0" fontId="3" fillId="2" borderId="17" xfId="5" applyFill="1" applyBorder="1" applyAlignment="1">
      <alignment horizontal="right"/>
    </xf>
    <xf numFmtId="0" fontId="15" fillId="2" borderId="16" xfId="5" applyFont="1" applyFill="1" applyBorder="1" applyAlignment="1">
      <alignment horizontal="center" vertical="center" wrapText="1"/>
    </xf>
    <xf numFmtId="0" fontId="15" fillId="2" borderId="25" xfId="5" applyFont="1" applyFill="1" applyBorder="1" applyAlignment="1">
      <alignment horizontal="center" vertical="center" wrapText="1"/>
    </xf>
    <xf numFmtId="0" fontId="15" fillId="2" borderId="19" xfId="5" applyFont="1" applyFill="1" applyBorder="1" applyAlignment="1">
      <alignment horizontal="center" vertical="center" wrapText="1"/>
    </xf>
    <xf numFmtId="0" fontId="31" fillId="0" borderId="16" xfId="5" applyFont="1" applyBorder="1" applyAlignment="1">
      <alignment horizontal="center" vertical="center" wrapText="1"/>
    </xf>
    <xf numFmtId="0" fontId="31" fillId="0" borderId="25" xfId="5" applyFont="1" applyBorder="1" applyAlignment="1">
      <alignment horizontal="center" vertical="center" wrapText="1"/>
    </xf>
    <xf numFmtId="0" fontId="31" fillId="0" borderId="19" xfId="5" applyFont="1" applyBorder="1" applyAlignment="1">
      <alignment horizontal="center" vertical="center" wrapText="1"/>
    </xf>
    <xf numFmtId="0" fontId="27" fillId="0" borderId="16" xfId="5" applyFont="1" applyFill="1" applyBorder="1" applyAlignment="1">
      <alignment horizontal="center" vertical="center" wrapText="1"/>
    </xf>
    <xf numFmtId="0" fontId="27" fillId="0" borderId="25" xfId="5" applyFont="1" applyFill="1" applyBorder="1" applyAlignment="1">
      <alignment horizontal="center" vertical="center" wrapText="1"/>
    </xf>
    <xf numFmtId="0" fontId="27" fillId="0" borderId="19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/>
    </xf>
    <xf numFmtId="0" fontId="18" fillId="0" borderId="17" xfId="5" applyFont="1" applyFill="1" applyBorder="1" applyAlignment="1">
      <alignment horizontal="center"/>
    </xf>
    <xf numFmtId="0" fontId="18" fillId="2" borderId="0" xfId="5" applyFont="1" applyFill="1" applyBorder="1" applyAlignment="1">
      <alignment horizontal="right"/>
    </xf>
    <xf numFmtId="0" fontId="24" fillId="2" borderId="1" xfId="5" applyFont="1" applyFill="1" applyBorder="1" applyAlignment="1">
      <alignment horizontal="center" vertical="center" wrapText="1"/>
    </xf>
    <xf numFmtId="0" fontId="27" fillId="2" borderId="16" xfId="5" applyFont="1" applyFill="1" applyBorder="1" applyAlignment="1">
      <alignment horizontal="center" vertical="center" wrapText="1"/>
    </xf>
    <xf numFmtId="0" fontId="27" fillId="2" borderId="25" xfId="5" applyFont="1" applyFill="1" applyBorder="1" applyAlignment="1">
      <alignment horizontal="center" vertical="center" wrapText="1"/>
    </xf>
    <xf numFmtId="0" fontId="27" fillId="2" borderId="19" xfId="5" applyFont="1" applyFill="1" applyBorder="1" applyAlignment="1">
      <alignment horizontal="center" vertical="center" wrapText="1"/>
    </xf>
    <xf numFmtId="0" fontId="24" fillId="2" borderId="16" xfId="5" applyFont="1" applyFill="1" applyBorder="1" applyAlignment="1">
      <alignment horizontal="center" vertical="center" wrapText="1"/>
    </xf>
    <xf numFmtId="0" fontId="24" fillId="2" borderId="25" xfId="5" applyFont="1" applyFill="1" applyBorder="1" applyAlignment="1">
      <alignment horizontal="center" vertical="center" wrapText="1"/>
    </xf>
    <xf numFmtId="0" fontId="24" fillId="2" borderId="19" xfId="5" applyFont="1" applyFill="1" applyBorder="1" applyAlignment="1">
      <alignment horizontal="center" vertical="center" wrapText="1"/>
    </xf>
    <xf numFmtId="0" fontId="27" fillId="2" borderId="16" xfId="5" applyFont="1" applyFill="1" applyBorder="1" applyAlignment="1">
      <alignment horizontal="center" vertical="center"/>
    </xf>
    <xf numFmtId="0" fontId="27" fillId="2" borderId="25" xfId="5" applyFont="1" applyFill="1" applyBorder="1" applyAlignment="1">
      <alignment horizontal="center" vertical="center"/>
    </xf>
    <xf numFmtId="0" fontId="27" fillId="2" borderId="19" xfId="5" applyFont="1" applyFill="1" applyBorder="1" applyAlignment="1">
      <alignment horizontal="center" vertical="center"/>
    </xf>
    <xf numFmtId="0" fontId="27" fillId="2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Ezres 2" xfId="2"/>
    <cellStyle name="Ezres 3" xfId="6"/>
    <cellStyle name="Normál" xfId="0" builtinId="0"/>
    <cellStyle name="Normál 2" xfId="1"/>
    <cellStyle name="Normál 3" xfId="3"/>
    <cellStyle name="Normál 4" xfId="5"/>
    <cellStyle name="Százalék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1"/>
  <sheetViews>
    <sheetView view="pageBreakPreview" topLeftCell="A40" zoomScaleNormal="100" zoomScaleSheetLayoutView="100" workbookViewId="0">
      <selection activeCell="F41" activeCellId="4" sqref="F9 F16 F24 F31 F41"/>
    </sheetView>
  </sheetViews>
  <sheetFormatPr defaultRowHeight="15.75" x14ac:dyDescent="0.25"/>
  <cols>
    <col min="1" max="1" width="9.140625" style="2"/>
    <col min="2" max="2" width="8.7109375" style="12" customWidth="1"/>
    <col min="3" max="3" width="60.42578125" style="2" customWidth="1"/>
    <col min="4" max="4" width="17.28515625" style="164" customWidth="1"/>
    <col min="5" max="5" width="16.5703125" style="2" customWidth="1"/>
    <col min="6" max="6" width="13.42578125" style="530" bestFit="1" customWidth="1"/>
    <col min="7" max="7" width="10.5703125" style="332" bestFit="1" customWidth="1"/>
    <col min="8" max="16384" width="9.140625" style="2"/>
  </cols>
  <sheetData>
    <row r="1" spans="1:7" x14ac:dyDescent="0.25">
      <c r="B1" s="539" t="s">
        <v>394</v>
      </c>
      <c r="C1" s="539"/>
      <c r="D1" s="539"/>
      <c r="E1" s="539"/>
    </row>
    <row r="2" spans="1:7" s="1" customFormat="1" x14ac:dyDescent="0.25">
      <c r="A2" s="538" t="s">
        <v>0</v>
      </c>
      <c r="B2" s="538"/>
      <c r="C2" s="538"/>
      <c r="D2" s="538"/>
      <c r="E2" s="538"/>
      <c r="F2" s="538"/>
      <c r="G2" s="538"/>
    </row>
    <row r="3" spans="1:7" s="1" customFormat="1" x14ac:dyDescent="0.25">
      <c r="A3" s="538" t="s">
        <v>395</v>
      </c>
      <c r="B3" s="538"/>
      <c r="C3" s="538"/>
      <c r="D3" s="538"/>
      <c r="E3" s="538"/>
      <c r="F3" s="538"/>
      <c r="G3" s="538"/>
    </row>
    <row r="4" spans="1:7" s="1" customFormat="1" x14ac:dyDescent="0.25">
      <c r="A4" s="538" t="s">
        <v>380</v>
      </c>
      <c r="B4" s="538"/>
      <c r="C4" s="538"/>
      <c r="D4" s="538"/>
      <c r="E4" s="538"/>
      <c r="F4" s="538"/>
      <c r="G4" s="538"/>
    </row>
    <row r="5" spans="1:7" s="1" customFormat="1" x14ac:dyDescent="0.25">
      <c r="A5" s="538" t="s">
        <v>1</v>
      </c>
      <c r="B5" s="538"/>
      <c r="C5" s="538"/>
      <c r="D5" s="538"/>
      <c r="E5" s="538"/>
      <c r="F5" s="538"/>
      <c r="G5" s="538"/>
    </row>
    <row r="6" spans="1:7" s="1" customFormat="1" ht="16.5" thickBot="1" x14ac:dyDescent="0.3">
      <c r="B6" s="18" t="s">
        <v>87</v>
      </c>
      <c r="D6" s="159"/>
      <c r="F6" s="531"/>
      <c r="G6" s="335"/>
    </row>
    <row r="7" spans="1:7" s="3" customFormat="1" ht="16.5" thickBot="1" x14ac:dyDescent="0.3">
      <c r="A7" s="175"/>
      <c r="B7" s="5">
        <v>1</v>
      </c>
      <c r="C7" s="6">
        <v>2</v>
      </c>
      <c r="D7" s="199">
        <v>3</v>
      </c>
      <c r="E7" s="243">
        <v>4</v>
      </c>
      <c r="F7" s="532">
        <v>5</v>
      </c>
      <c r="G7" s="336">
        <v>6</v>
      </c>
    </row>
    <row r="8" spans="1:7" s="1" customFormat="1" ht="32.25" thickBot="1" x14ac:dyDescent="0.3">
      <c r="B8" s="7" t="s">
        <v>4</v>
      </c>
      <c r="C8" s="6" t="s">
        <v>2</v>
      </c>
      <c r="D8" s="207" t="s">
        <v>396</v>
      </c>
      <c r="E8" s="244" t="s">
        <v>397</v>
      </c>
      <c r="F8" s="334" t="s">
        <v>398</v>
      </c>
      <c r="G8" s="338" t="s">
        <v>399</v>
      </c>
    </row>
    <row r="9" spans="1:7" s="1" customFormat="1" ht="16.5" thickBot="1" x14ac:dyDescent="0.3">
      <c r="B9" s="14" t="s">
        <v>3</v>
      </c>
      <c r="C9" s="186" t="s">
        <v>16</v>
      </c>
      <c r="D9" s="166">
        <f>SUM(D10:D15)</f>
        <v>299157.57900000003</v>
      </c>
      <c r="E9" s="209">
        <f>SUM(E10:E15)</f>
        <v>314796.821</v>
      </c>
      <c r="F9" s="259">
        <f t="shared" ref="F9" si="0">SUM(F10:F15)</f>
        <v>162766.019</v>
      </c>
      <c r="G9" s="340">
        <f>F9/E9</f>
        <v>0.51705102511184509</v>
      </c>
    </row>
    <row r="10" spans="1:7" x14ac:dyDescent="0.25">
      <c r="B10" s="15" t="s">
        <v>6</v>
      </c>
      <c r="C10" s="8" t="s">
        <v>30</v>
      </c>
      <c r="D10" s="201">
        <v>102239.09</v>
      </c>
      <c r="E10" s="245">
        <v>102239.09</v>
      </c>
      <c r="F10" s="260">
        <v>53287.548000000003</v>
      </c>
      <c r="G10" s="339">
        <f t="shared" ref="G10:G49" si="1">F10/E10</f>
        <v>0.52120522590723373</v>
      </c>
    </row>
    <row r="11" spans="1:7" x14ac:dyDescent="0.25">
      <c r="B11" s="16" t="s">
        <v>7</v>
      </c>
      <c r="C11" s="4" t="s">
        <v>31</v>
      </c>
      <c r="D11" s="202">
        <v>72321.217999999993</v>
      </c>
      <c r="E11" s="202">
        <v>72321.217999999993</v>
      </c>
      <c r="F11" s="260">
        <v>35825.281000000003</v>
      </c>
      <c r="G11" s="332">
        <f t="shared" si="1"/>
        <v>0.49536335242584001</v>
      </c>
    </row>
    <row r="12" spans="1:7" x14ac:dyDescent="0.25">
      <c r="B12" s="16" t="s">
        <v>8</v>
      </c>
      <c r="C12" s="4" t="s">
        <v>320</v>
      </c>
      <c r="D12" s="202">
        <v>120196.501</v>
      </c>
      <c r="E12" s="202">
        <v>132530.50099999999</v>
      </c>
      <c r="F12" s="260">
        <v>68826.019</v>
      </c>
      <c r="G12" s="332">
        <f t="shared" si="1"/>
        <v>0.51932210684089997</v>
      </c>
    </row>
    <row r="13" spans="1:7" x14ac:dyDescent="0.25">
      <c r="B13" s="16" t="s">
        <v>9</v>
      </c>
      <c r="C13" s="4" t="s">
        <v>33</v>
      </c>
      <c r="D13" s="202">
        <v>4400.7700000000004</v>
      </c>
      <c r="E13" s="202">
        <v>5380.6869999999999</v>
      </c>
      <c r="F13" s="260">
        <v>2871.1019999999999</v>
      </c>
      <c r="G13" s="332">
        <f t="shared" si="1"/>
        <v>0.53359394441639141</v>
      </c>
    </row>
    <row r="14" spans="1:7" x14ac:dyDescent="0.25">
      <c r="B14" s="16" t="s">
        <v>10</v>
      </c>
      <c r="C14" s="4" t="s">
        <v>34</v>
      </c>
      <c r="D14" s="202"/>
      <c r="E14" s="246">
        <v>2325.3249999999998</v>
      </c>
      <c r="F14" s="260">
        <v>1956.069</v>
      </c>
      <c r="G14" s="332">
        <f t="shared" si="1"/>
        <v>0.84120241256598549</v>
      </c>
    </row>
    <row r="15" spans="1:7" ht="16.5" thickBot="1" x14ac:dyDescent="0.3">
      <c r="B15" s="17" t="s">
        <v>11</v>
      </c>
      <c r="C15" s="10" t="s">
        <v>362</v>
      </c>
      <c r="D15" s="203"/>
      <c r="E15" s="246"/>
      <c r="F15" s="260"/>
      <c r="G15" s="341"/>
    </row>
    <row r="16" spans="1:7" s="1" customFormat="1" ht="16.5" thickBot="1" x14ac:dyDescent="0.3">
      <c r="B16" s="14" t="s">
        <v>5</v>
      </c>
      <c r="C16" s="9" t="s">
        <v>39</v>
      </c>
      <c r="D16" s="200">
        <f>SUM(D17:D18)</f>
        <v>148870</v>
      </c>
      <c r="E16" s="209">
        <f>SUM(E17:E18)</f>
        <v>174769.899</v>
      </c>
      <c r="F16" s="259">
        <f t="shared" ref="F16" si="2">SUM(F17:F18)</f>
        <v>95058.331000000006</v>
      </c>
      <c r="G16" s="340">
        <f t="shared" si="1"/>
        <v>0.5439056241601421</v>
      </c>
    </row>
    <row r="17" spans="2:7" x14ac:dyDescent="0.25">
      <c r="B17" s="15" t="s">
        <v>12</v>
      </c>
      <c r="C17" s="8" t="s">
        <v>36</v>
      </c>
      <c r="D17" s="201"/>
      <c r="E17" s="246"/>
      <c r="F17" s="260"/>
      <c r="G17" s="337"/>
    </row>
    <row r="18" spans="2:7" x14ac:dyDescent="0.25">
      <c r="B18" s="16" t="s">
        <v>13</v>
      </c>
      <c r="C18" s="4" t="s">
        <v>534</v>
      </c>
      <c r="D18" s="202">
        <v>148870</v>
      </c>
      <c r="E18" s="202">
        <v>174769.899</v>
      </c>
      <c r="F18" s="260">
        <v>95058.331000000006</v>
      </c>
      <c r="G18" s="332">
        <f t="shared" si="1"/>
        <v>0.5439056241601421</v>
      </c>
    </row>
    <row r="19" spans="2:7" ht="16.5" thickBot="1" x14ac:dyDescent="0.3">
      <c r="B19" s="17" t="s">
        <v>14</v>
      </c>
      <c r="C19" s="10" t="s">
        <v>38</v>
      </c>
      <c r="D19" s="203">
        <v>42772</v>
      </c>
      <c r="E19" s="202">
        <v>67518.5</v>
      </c>
      <c r="F19" s="260">
        <v>23476.5</v>
      </c>
      <c r="G19" s="342">
        <f t="shared" si="1"/>
        <v>0.34770470315543145</v>
      </c>
    </row>
    <row r="20" spans="2:7" s="1" customFormat="1" ht="16.5" thickBot="1" x14ac:dyDescent="0.3">
      <c r="B20" s="14" t="s">
        <v>15</v>
      </c>
      <c r="C20" s="9" t="s">
        <v>43</v>
      </c>
      <c r="D20" s="200">
        <f>SUM(D21:D22)</f>
        <v>322909</v>
      </c>
      <c r="E20" s="247">
        <f>SUM(E21:E22)</f>
        <v>313129.05499999999</v>
      </c>
      <c r="F20" s="533">
        <f>SUM(F21:F22)</f>
        <v>16270</v>
      </c>
      <c r="G20" s="340">
        <f t="shared" si="1"/>
        <v>5.1959406960813651E-2</v>
      </c>
    </row>
    <row r="21" spans="2:7" x14ac:dyDescent="0.25">
      <c r="B21" s="15" t="s">
        <v>17</v>
      </c>
      <c r="C21" s="8" t="s">
        <v>40</v>
      </c>
      <c r="D21" s="201">
        <v>15000</v>
      </c>
      <c r="E21" s="202">
        <v>15000</v>
      </c>
      <c r="F21" s="260">
        <v>15000</v>
      </c>
      <c r="G21" s="339">
        <f t="shared" si="1"/>
        <v>1</v>
      </c>
    </row>
    <row r="22" spans="2:7" x14ac:dyDescent="0.25">
      <c r="B22" s="16" t="s">
        <v>18</v>
      </c>
      <c r="C22" s="4" t="s">
        <v>41</v>
      </c>
      <c r="D22" s="202">
        <v>307909</v>
      </c>
      <c r="E22" s="202">
        <v>298129.05499999999</v>
      </c>
      <c r="F22" s="260">
        <v>1270</v>
      </c>
      <c r="G22" s="332">
        <f t="shared" si="1"/>
        <v>4.2599001294925786E-3</v>
      </c>
    </row>
    <row r="23" spans="2:7" ht="16.5" thickBot="1" x14ac:dyDescent="0.3">
      <c r="B23" s="17" t="s">
        <v>19</v>
      </c>
      <c r="C23" s="10" t="s">
        <v>42</v>
      </c>
      <c r="D23" s="203">
        <v>307909</v>
      </c>
      <c r="E23" s="248">
        <v>298129.05499999999</v>
      </c>
      <c r="F23" s="260">
        <v>1270</v>
      </c>
      <c r="G23" s="342">
        <f t="shared" si="1"/>
        <v>4.2599001294925786E-3</v>
      </c>
    </row>
    <row r="24" spans="2:7" s="1" customFormat="1" ht="16.5" thickBot="1" x14ac:dyDescent="0.3">
      <c r="B24" s="14" t="s">
        <v>20</v>
      </c>
      <c r="C24" s="9" t="s">
        <v>21</v>
      </c>
      <c r="D24" s="200">
        <f>D25+D28+D29+D30</f>
        <v>102821</v>
      </c>
      <c r="E24" s="209">
        <f>E25+E28+E29+E30</f>
        <v>102821</v>
      </c>
      <c r="F24" s="259">
        <f>F25+F28+F29+F30</f>
        <v>51277.287000000011</v>
      </c>
      <c r="G24" s="340">
        <f t="shared" si="1"/>
        <v>0.49870441835811763</v>
      </c>
    </row>
    <row r="25" spans="2:7" x14ac:dyDescent="0.25">
      <c r="B25" s="15" t="s">
        <v>22</v>
      </c>
      <c r="C25" s="8" t="s">
        <v>44</v>
      </c>
      <c r="D25" s="201">
        <f>D26+D27</f>
        <v>91027</v>
      </c>
      <c r="E25" s="201">
        <f>E26+E27</f>
        <v>91027</v>
      </c>
      <c r="F25" s="261">
        <f>F26+F27</f>
        <v>45179.005000000005</v>
      </c>
      <c r="G25" s="339">
        <f t="shared" si="1"/>
        <v>0.49632532105858707</v>
      </c>
    </row>
    <row r="26" spans="2:7" x14ac:dyDescent="0.25">
      <c r="B26" s="16" t="s">
        <v>23</v>
      </c>
      <c r="C26" s="4" t="s">
        <v>45</v>
      </c>
      <c r="D26" s="202">
        <v>44</v>
      </c>
      <c r="E26" s="202">
        <v>44</v>
      </c>
      <c r="F26" s="260">
        <v>90.048000000000002</v>
      </c>
      <c r="G26" s="332">
        <f t="shared" si="1"/>
        <v>2.0465454545454547</v>
      </c>
    </row>
    <row r="27" spans="2:7" x14ac:dyDescent="0.25">
      <c r="B27" s="16" t="s">
        <v>24</v>
      </c>
      <c r="C27" s="4" t="s">
        <v>47</v>
      </c>
      <c r="D27" s="202">
        <v>90983</v>
      </c>
      <c r="E27" s="202">
        <v>90983</v>
      </c>
      <c r="F27" s="260">
        <v>45088.957000000002</v>
      </c>
      <c r="G27" s="332">
        <f t="shared" si="1"/>
        <v>0.49557562401767363</v>
      </c>
    </row>
    <row r="28" spans="2:7" x14ac:dyDescent="0.25">
      <c r="B28" s="16" t="s">
        <v>26</v>
      </c>
      <c r="C28" s="4" t="s">
        <v>48</v>
      </c>
      <c r="D28" s="202">
        <v>10605</v>
      </c>
      <c r="E28" s="202">
        <v>10605</v>
      </c>
      <c r="F28" s="260">
        <v>5115.33</v>
      </c>
      <c r="G28" s="332">
        <f t="shared" si="1"/>
        <v>0.48235077793493636</v>
      </c>
    </row>
    <row r="29" spans="2:7" x14ac:dyDescent="0.25">
      <c r="B29" s="16" t="s">
        <v>27</v>
      </c>
      <c r="C29" s="4" t="s">
        <v>49</v>
      </c>
      <c r="D29" s="202">
        <v>700</v>
      </c>
      <c r="E29" s="202">
        <v>700</v>
      </c>
      <c r="F29" s="260">
        <v>505.779</v>
      </c>
      <c r="G29" s="332">
        <f t="shared" si="1"/>
        <v>0.72254142857142856</v>
      </c>
    </row>
    <row r="30" spans="2:7" ht="16.5" thickBot="1" x14ac:dyDescent="0.3">
      <c r="B30" s="17" t="s">
        <v>28</v>
      </c>
      <c r="C30" s="10" t="s">
        <v>50</v>
      </c>
      <c r="D30" s="203">
        <v>489</v>
      </c>
      <c r="E30" s="248">
        <v>489</v>
      </c>
      <c r="F30" s="264">
        <v>477.173</v>
      </c>
      <c r="G30" s="342">
        <f t="shared" si="1"/>
        <v>0.97581390593047035</v>
      </c>
    </row>
    <row r="31" spans="2:7" s="1" customFormat="1" ht="16.5" thickBot="1" x14ac:dyDescent="0.3">
      <c r="B31" s="14" t="s">
        <v>29</v>
      </c>
      <c r="C31" s="9" t="s">
        <v>51</v>
      </c>
      <c r="D31" s="200">
        <v>61573.3</v>
      </c>
      <c r="E31" s="209">
        <v>61573.3</v>
      </c>
      <c r="F31" s="401">
        <v>32410.401999999998</v>
      </c>
      <c r="G31" s="340">
        <f t="shared" si="1"/>
        <v>0.52637104069458673</v>
      </c>
    </row>
    <row r="32" spans="2:7" s="1" customFormat="1" ht="16.5" thickBot="1" x14ac:dyDescent="0.3">
      <c r="B32" s="19" t="s">
        <v>52</v>
      </c>
      <c r="C32" s="20" t="s">
        <v>53</v>
      </c>
      <c r="D32" s="204"/>
      <c r="E32" s="209"/>
      <c r="F32" s="396"/>
      <c r="G32" s="343"/>
    </row>
    <row r="33" spans="2:7" s="1" customFormat="1" ht="16.5" thickBot="1" x14ac:dyDescent="0.3">
      <c r="B33" s="14" t="s">
        <v>54</v>
      </c>
      <c r="C33" s="9" t="s">
        <v>161</v>
      </c>
      <c r="D33" s="200">
        <v>210</v>
      </c>
      <c r="E33" s="209">
        <v>210</v>
      </c>
      <c r="F33" s="401"/>
      <c r="G33" s="340">
        <f t="shared" si="1"/>
        <v>0</v>
      </c>
    </row>
    <row r="34" spans="2:7" s="1" customFormat="1" ht="16.5" thickBot="1" x14ac:dyDescent="0.3">
      <c r="B34" s="14" t="s">
        <v>56</v>
      </c>
      <c r="C34" s="9" t="s">
        <v>57</v>
      </c>
      <c r="D34" s="200"/>
      <c r="E34" s="209"/>
      <c r="F34" s="401"/>
      <c r="G34" s="340"/>
    </row>
    <row r="35" spans="2:7" s="1" customFormat="1" ht="16.5" thickBot="1" x14ac:dyDescent="0.3">
      <c r="B35" s="14" t="s">
        <v>58</v>
      </c>
      <c r="C35" s="9" t="s">
        <v>137</v>
      </c>
      <c r="D35" s="200">
        <f>D9+D16+D20+D24+D31+D32+D33+D34</f>
        <v>935540.87900000007</v>
      </c>
      <c r="E35" s="209">
        <f>E9+E16+E20+E24+E31+E32+E33+E34</f>
        <v>967300.07499999995</v>
      </c>
      <c r="F35" s="259">
        <f>F9+F16+F20+F24+F31+F32+F33+F34</f>
        <v>357782.03899999999</v>
      </c>
      <c r="G35" s="340">
        <f t="shared" si="1"/>
        <v>0.36987698879274872</v>
      </c>
    </row>
    <row r="36" spans="2:7" s="1" customFormat="1" ht="16.5" thickBot="1" x14ac:dyDescent="0.3">
      <c r="B36" s="14" t="s">
        <v>59</v>
      </c>
      <c r="C36" s="9" t="s">
        <v>60</v>
      </c>
      <c r="D36" s="200">
        <f>SUM(D37:D39)</f>
        <v>0</v>
      </c>
      <c r="E36" s="209">
        <f>SUM(E37:E39)</f>
        <v>0</v>
      </c>
      <c r="F36" s="401"/>
      <c r="G36" s="340"/>
    </row>
    <row r="37" spans="2:7" x14ac:dyDescent="0.25">
      <c r="B37" s="15" t="s">
        <v>61</v>
      </c>
      <c r="C37" s="8" t="s">
        <v>62</v>
      </c>
      <c r="D37" s="201"/>
      <c r="E37" s="249"/>
      <c r="F37" s="261"/>
      <c r="G37" s="337"/>
    </row>
    <row r="38" spans="2:7" x14ac:dyDescent="0.25">
      <c r="B38" s="16" t="s">
        <v>63</v>
      </c>
      <c r="C38" s="4" t="s">
        <v>64</v>
      </c>
      <c r="D38" s="202"/>
      <c r="E38" s="246"/>
      <c r="F38" s="260"/>
      <c r="G38" s="335"/>
    </row>
    <row r="39" spans="2:7" ht="16.5" thickBot="1" x14ac:dyDescent="0.3">
      <c r="B39" s="17" t="s">
        <v>65</v>
      </c>
      <c r="C39" s="10" t="s">
        <v>66</v>
      </c>
      <c r="D39" s="203"/>
      <c r="E39" s="250"/>
      <c r="F39" s="264"/>
      <c r="G39" s="341"/>
    </row>
    <row r="40" spans="2:7" s="1" customFormat="1" ht="16.5" thickBot="1" x14ac:dyDescent="0.3">
      <c r="B40" s="14" t="s">
        <v>67</v>
      </c>
      <c r="C40" s="9" t="s">
        <v>68</v>
      </c>
      <c r="D40" s="200"/>
      <c r="E40" s="251"/>
      <c r="F40" s="401"/>
      <c r="G40" s="340"/>
    </row>
    <row r="41" spans="2:7" s="1" customFormat="1" ht="16.5" thickBot="1" x14ac:dyDescent="0.3">
      <c r="B41" s="14" t="s">
        <v>69</v>
      </c>
      <c r="C41" s="9" t="s">
        <v>70</v>
      </c>
      <c r="D41" s="200">
        <v>457973.75300000003</v>
      </c>
      <c r="E41" s="209">
        <v>464614.65600000002</v>
      </c>
      <c r="F41" s="396">
        <v>464614.65600000002</v>
      </c>
      <c r="G41" s="340">
        <f t="shared" si="1"/>
        <v>1</v>
      </c>
    </row>
    <row r="42" spans="2:7" s="1" customFormat="1" ht="16.5" thickBot="1" x14ac:dyDescent="0.3">
      <c r="B42" s="14" t="s">
        <v>71</v>
      </c>
      <c r="C42" s="9" t="s">
        <v>72</v>
      </c>
      <c r="D42" s="200">
        <f>D43+D44</f>
        <v>0</v>
      </c>
      <c r="E42" s="200">
        <f t="shared" ref="E42:F42" si="3">E43+E44</f>
        <v>0</v>
      </c>
      <c r="F42" s="534">
        <f t="shared" si="3"/>
        <v>0</v>
      </c>
      <c r="G42" s="340"/>
    </row>
    <row r="43" spans="2:7" x14ac:dyDescent="0.25">
      <c r="B43" s="15" t="s">
        <v>73</v>
      </c>
      <c r="C43" s="8" t="s">
        <v>74</v>
      </c>
      <c r="D43" s="201"/>
      <c r="E43" s="249"/>
      <c r="F43" s="261"/>
      <c r="G43" s="337"/>
    </row>
    <row r="44" spans="2:7" ht="16.5" thickBot="1" x14ac:dyDescent="0.3">
      <c r="B44" s="17" t="s">
        <v>75</v>
      </c>
      <c r="C44" s="10" t="s">
        <v>76</v>
      </c>
      <c r="D44" s="203"/>
      <c r="E44" s="250"/>
      <c r="F44" s="264"/>
      <c r="G44" s="341"/>
    </row>
    <row r="45" spans="2:7" s="1" customFormat="1" ht="16.5" thickBot="1" x14ac:dyDescent="0.3">
      <c r="B45" s="14" t="s">
        <v>77</v>
      </c>
      <c r="C45" s="9" t="s">
        <v>78</v>
      </c>
      <c r="D45" s="200"/>
      <c r="E45" s="251"/>
      <c r="F45" s="401"/>
      <c r="G45" s="340"/>
    </row>
    <row r="46" spans="2:7" s="1" customFormat="1" ht="16.5" thickBot="1" x14ac:dyDescent="0.3">
      <c r="B46" s="14" t="s">
        <v>79</v>
      </c>
      <c r="C46" s="9" t="s">
        <v>80</v>
      </c>
      <c r="D46" s="200"/>
      <c r="E46" s="251"/>
      <c r="F46" s="401"/>
      <c r="G46" s="340"/>
    </row>
    <row r="47" spans="2:7" s="1" customFormat="1" ht="16.5" thickBot="1" x14ac:dyDescent="0.3">
      <c r="B47" s="14" t="s">
        <v>81</v>
      </c>
      <c r="C47" s="9" t="s">
        <v>82</v>
      </c>
      <c r="D47" s="200"/>
      <c r="E47" s="252"/>
      <c r="F47" s="401"/>
      <c r="G47" s="340"/>
    </row>
    <row r="48" spans="2:7" s="1" customFormat="1" ht="16.5" thickBot="1" x14ac:dyDescent="0.3">
      <c r="B48" s="14" t="s">
        <v>83</v>
      </c>
      <c r="C48" s="9" t="s">
        <v>84</v>
      </c>
      <c r="D48" s="200">
        <f>D36+D40+D41+D42+D45+D46+D47</f>
        <v>457973.75300000003</v>
      </c>
      <c r="E48" s="209">
        <f>E36+E40+E41+E42+E45+E46+E47</f>
        <v>464614.65600000002</v>
      </c>
      <c r="F48" s="259">
        <f>F36+F40+F41+F42+F45+F46+F47</f>
        <v>464614.65600000002</v>
      </c>
      <c r="G48" s="340">
        <f t="shared" si="1"/>
        <v>1</v>
      </c>
    </row>
    <row r="49" spans="1:7" s="1" customFormat="1" ht="32.25" thickBot="1" x14ac:dyDescent="0.3">
      <c r="B49" s="14" t="s">
        <v>85</v>
      </c>
      <c r="C49" s="11" t="s">
        <v>86</v>
      </c>
      <c r="D49" s="200">
        <f>D35+D48</f>
        <v>1393514.6320000002</v>
      </c>
      <c r="E49" s="209">
        <f>E35+E48</f>
        <v>1431914.7309999999</v>
      </c>
      <c r="F49" s="259">
        <f>F35+F48</f>
        <v>822396.69500000007</v>
      </c>
      <c r="G49" s="340">
        <f t="shared" si="1"/>
        <v>0.5743335669336026</v>
      </c>
    </row>
    <row r="50" spans="1:7" x14ac:dyDescent="0.25">
      <c r="G50" s="331"/>
    </row>
    <row r="51" spans="1:7" x14ac:dyDescent="0.25">
      <c r="A51" s="538" t="s">
        <v>88</v>
      </c>
      <c r="B51" s="538"/>
      <c r="C51" s="538"/>
      <c r="D51" s="538"/>
      <c r="E51" s="538"/>
      <c r="F51" s="538"/>
      <c r="G51" s="538"/>
    </row>
    <row r="52" spans="1:7" ht="16.5" thickBot="1" x14ac:dyDescent="0.3">
      <c r="B52" s="18" t="s">
        <v>89</v>
      </c>
      <c r="C52" s="1"/>
      <c r="D52" s="160"/>
      <c r="G52" s="331"/>
    </row>
    <row r="53" spans="1:7" s="197" customFormat="1" ht="32.25" thickBot="1" x14ac:dyDescent="0.3">
      <c r="B53" s="7" t="s">
        <v>4</v>
      </c>
      <c r="C53" s="6" t="s">
        <v>90</v>
      </c>
      <c r="D53" s="207" t="s">
        <v>396</v>
      </c>
      <c r="E53" s="253" t="s">
        <v>397</v>
      </c>
      <c r="F53" s="344" t="s">
        <v>398</v>
      </c>
      <c r="G53" s="338" t="s">
        <v>399</v>
      </c>
    </row>
    <row r="54" spans="1:7" ht="16.5" thickBot="1" x14ac:dyDescent="0.3">
      <c r="B54" s="14" t="s">
        <v>3</v>
      </c>
      <c r="C54" s="186" t="s">
        <v>390</v>
      </c>
      <c r="D54" s="166">
        <f>D55+D56+D57+D58+D59+D65</f>
        <v>737254.89899999998</v>
      </c>
      <c r="E54" s="209">
        <f>E55+E56+E57+E58+E59+E65</f>
        <v>780644.98</v>
      </c>
      <c r="F54" s="259">
        <f>F55+F56+F57+F58+F59+F65</f>
        <v>302377.41100000002</v>
      </c>
      <c r="G54" s="340">
        <f>F54/E54</f>
        <v>0.38734305445735401</v>
      </c>
    </row>
    <row r="55" spans="1:7" x14ac:dyDescent="0.25">
      <c r="B55" s="21" t="s">
        <v>6</v>
      </c>
      <c r="C55" s="8" t="s">
        <v>91</v>
      </c>
      <c r="D55" s="201">
        <v>351579</v>
      </c>
      <c r="E55" s="202">
        <v>383433.08199999999</v>
      </c>
      <c r="F55" s="260">
        <v>165847.99100000001</v>
      </c>
      <c r="G55" s="339">
        <f t="shared" ref="G55:G88" si="4">F55/E55</f>
        <v>0.43253438157952162</v>
      </c>
    </row>
    <row r="56" spans="1:7" x14ac:dyDescent="0.25">
      <c r="B56" s="22" t="s">
        <v>7</v>
      </c>
      <c r="C56" s="4" t="s">
        <v>92</v>
      </c>
      <c r="D56" s="202">
        <v>62543.8</v>
      </c>
      <c r="E56" s="202">
        <v>68752.668999999994</v>
      </c>
      <c r="F56" s="260">
        <v>28560.697</v>
      </c>
      <c r="G56" s="339">
        <f t="shared" si="4"/>
        <v>0.41541219294337506</v>
      </c>
    </row>
    <row r="57" spans="1:7" x14ac:dyDescent="0.25">
      <c r="B57" s="22" t="s">
        <v>8</v>
      </c>
      <c r="C57" s="4" t="s">
        <v>93</v>
      </c>
      <c r="D57" s="202">
        <v>257135.7</v>
      </c>
      <c r="E57" s="202">
        <v>262179.38799999998</v>
      </c>
      <c r="F57" s="260">
        <v>87942.865999999995</v>
      </c>
      <c r="G57" s="339">
        <f t="shared" si="4"/>
        <v>0.33543012923655158</v>
      </c>
    </row>
    <row r="58" spans="1:7" x14ac:dyDescent="0.25">
      <c r="B58" s="22" t="s">
        <v>9</v>
      </c>
      <c r="C58" s="4" t="s">
        <v>94</v>
      </c>
      <c r="D58" s="202">
        <v>5400</v>
      </c>
      <c r="E58" s="202">
        <v>6107.78</v>
      </c>
      <c r="F58" s="260">
        <v>1546.21</v>
      </c>
      <c r="G58" s="339">
        <f t="shared" si="4"/>
        <v>0.25315417385694966</v>
      </c>
    </row>
    <row r="59" spans="1:7" x14ac:dyDescent="0.25">
      <c r="B59" s="22" t="s">
        <v>10</v>
      </c>
      <c r="C59" s="4" t="s">
        <v>95</v>
      </c>
      <c r="D59" s="202">
        <f>SUM(D60:D64)</f>
        <v>34490.1</v>
      </c>
      <c r="E59" s="202">
        <f>SUM(E60:E64)</f>
        <v>37210.1</v>
      </c>
      <c r="F59" s="260">
        <f>SUM(F60:F64)</f>
        <v>18479.646999999997</v>
      </c>
      <c r="G59" s="339">
        <f t="shared" si="4"/>
        <v>0.49662986662223424</v>
      </c>
    </row>
    <row r="60" spans="1:7" x14ac:dyDescent="0.25">
      <c r="B60" s="22" t="s">
        <v>383</v>
      </c>
      <c r="C60" s="23" t="s">
        <v>96</v>
      </c>
      <c r="D60" s="202">
        <v>3000</v>
      </c>
      <c r="E60" s="202">
        <v>3000</v>
      </c>
      <c r="F60" s="260">
        <v>2617.3420000000001</v>
      </c>
      <c r="G60" s="339">
        <f t="shared" si="4"/>
        <v>0.87244733333333335</v>
      </c>
    </row>
    <row r="61" spans="1:7" x14ac:dyDescent="0.25">
      <c r="B61" s="22" t="s">
        <v>384</v>
      </c>
      <c r="C61" s="4" t="s">
        <v>103</v>
      </c>
      <c r="D61" s="202"/>
      <c r="E61" s="202"/>
      <c r="F61" s="260"/>
      <c r="G61" s="339"/>
    </row>
    <row r="62" spans="1:7" x14ac:dyDescent="0.25">
      <c r="B62" s="22" t="s">
        <v>385</v>
      </c>
      <c r="C62" s="4" t="s">
        <v>138</v>
      </c>
      <c r="D62" s="202"/>
      <c r="E62" s="202"/>
      <c r="F62" s="260"/>
      <c r="G62" s="339"/>
    </row>
    <row r="63" spans="1:7" x14ac:dyDescent="0.25">
      <c r="B63" s="22" t="s">
        <v>386</v>
      </c>
      <c r="C63" s="4" t="s">
        <v>139</v>
      </c>
      <c r="D63" s="202">
        <v>4378</v>
      </c>
      <c r="E63" s="202">
        <v>4378</v>
      </c>
      <c r="F63" s="260">
        <v>1575.0219999999999</v>
      </c>
      <c r="G63" s="339">
        <f t="shared" si="4"/>
        <v>0.35975833714024669</v>
      </c>
    </row>
    <row r="64" spans="1:7" x14ac:dyDescent="0.25">
      <c r="B64" s="22" t="s">
        <v>387</v>
      </c>
      <c r="C64" s="4" t="s">
        <v>140</v>
      </c>
      <c r="D64" s="202">
        <v>27112.1</v>
      </c>
      <c r="E64" s="202">
        <v>29832.1</v>
      </c>
      <c r="F64" s="260">
        <v>14287.282999999999</v>
      </c>
      <c r="G64" s="339">
        <f t="shared" si="4"/>
        <v>0.47892313983930063</v>
      </c>
    </row>
    <row r="65" spans="2:7" x14ac:dyDescent="0.25">
      <c r="B65" s="22" t="s">
        <v>11</v>
      </c>
      <c r="C65" s="4" t="s">
        <v>102</v>
      </c>
      <c r="D65" s="202">
        <f>SUM(D66:D67)</f>
        <v>26106.298999999999</v>
      </c>
      <c r="E65" s="202">
        <f>SUM(E66:E67)</f>
        <v>22961.960999999999</v>
      </c>
      <c r="F65" s="260"/>
      <c r="G65" s="339">
        <f t="shared" si="4"/>
        <v>0</v>
      </c>
    </row>
    <row r="66" spans="2:7" x14ac:dyDescent="0.25">
      <c r="B66" s="22" t="s">
        <v>388</v>
      </c>
      <c r="C66" s="4" t="s">
        <v>105</v>
      </c>
      <c r="D66" s="202">
        <v>10951.066999999999</v>
      </c>
      <c r="E66" s="202">
        <v>3503.73</v>
      </c>
      <c r="F66" s="260"/>
      <c r="G66" s="339">
        <f t="shared" si="4"/>
        <v>0</v>
      </c>
    </row>
    <row r="67" spans="2:7" ht="16.5" thickBot="1" x14ac:dyDescent="0.3">
      <c r="B67" s="25" t="s">
        <v>389</v>
      </c>
      <c r="C67" s="10" t="s">
        <v>107</v>
      </c>
      <c r="D67" s="203">
        <v>15155.232</v>
      </c>
      <c r="E67" s="202">
        <v>19458.231</v>
      </c>
      <c r="F67" s="260"/>
      <c r="G67" s="349">
        <f t="shared" si="4"/>
        <v>0</v>
      </c>
    </row>
    <row r="68" spans="2:7" ht="16.5" thickBot="1" x14ac:dyDescent="0.3">
      <c r="B68" s="14" t="s">
        <v>5</v>
      </c>
      <c r="C68" s="186" t="s">
        <v>121</v>
      </c>
      <c r="D68" s="166">
        <f>D69+D71+D73</f>
        <v>645332</v>
      </c>
      <c r="E68" s="209">
        <f>E69+E71+E73</f>
        <v>640342.01799999992</v>
      </c>
      <c r="F68" s="259">
        <f>F69+F71+F73</f>
        <v>26175.019</v>
      </c>
      <c r="G68" s="340">
        <f t="shared" si="4"/>
        <v>4.0876622592647051E-2</v>
      </c>
    </row>
    <row r="69" spans="2:7" x14ac:dyDescent="0.25">
      <c r="B69" s="21" t="s">
        <v>12</v>
      </c>
      <c r="C69" s="8" t="s">
        <v>109</v>
      </c>
      <c r="D69" s="201">
        <v>622689</v>
      </c>
      <c r="E69" s="202">
        <v>613471.66599999997</v>
      </c>
      <c r="F69" s="260">
        <v>3329.6419999999998</v>
      </c>
      <c r="G69" s="339">
        <f t="shared" si="4"/>
        <v>5.4275399900865183E-3</v>
      </c>
    </row>
    <row r="70" spans="2:7" x14ac:dyDescent="0.25">
      <c r="B70" s="22" t="s">
        <v>110</v>
      </c>
      <c r="C70" s="4" t="s">
        <v>111</v>
      </c>
      <c r="D70" s="202">
        <v>606222</v>
      </c>
      <c r="E70" s="202">
        <v>595927.43599999999</v>
      </c>
      <c r="F70" s="260"/>
      <c r="G70" s="339">
        <f t="shared" si="4"/>
        <v>0</v>
      </c>
    </row>
    <row r="71" spans="2:7" x14ac:dyDescent="0.25">
      <c r="B71" s="22" t="s">
        <v>14</v>
      </c>
      <c r="C71" s="4" t="s">
        <v>112</v>
      </c>
      <c r="D71" s="202">
        <v>22643</v>
      </c>
      <c r="E71" s="202">
        <v>26870.351999999999</v>
      </c>
      <c r="F71" s="260">
        <v>22845.377</v>
      </c>
      <c r="G71" s="339">
        <f t="shared" si="4"/>
        <v>0.85020758194756818</v>
      </c>
    </row>
    <row r="72" spans="2:7" x14ac:dyDescent="0.25">
      <c r="B72" s="22" t="s">
        <v>113</v>
      </c>
      <c r="C72" s="4" t="s">
        <v>114</v>
      </c>
      <c r="D72" s="202"/>
      <c r="E72" s="202"/>
      <c r="F72" s="260"/>
      <c r="G72" s="339"/>
    </row>
    <row r="73" spans="2:7" x14ac:dyDescent="0.25">
      <c r="B73" s="22" t="s">
        <v>115</v>
      </c>
      <c r="C73" s="4" t="s">
        <v>116</v>
      </c>
      <c r="D73" s="202"/>
      <c r="E73" s="202">
        <f>E74+E75</f>
        <v>0</v>
      </c>
      <c r="F73" s="260">
        <f>F74+F75</f>
        <v>0</v>
      </c>
      <c r="G73" s="339"/>
    </row>
    <row r="74" spans="2:7" x14ac:dyDescent="0.25">
      <c r="B74" s="22" t="s">
        <v>117</v>
      </c>
      <c r="C74" s="4" t="s">
        <v>118</v>
      </c>
      <c r="D74" s="202"/>
      <c r="E74" s="202"/>
      <c r="F74" s="260"/>
      <c r="G74" s="339"/>
    </row>
    <row r="75" spans="2:7" ht="16.5" thickBot="1" x14ac:dyDescent="0.3">
      <c r="B75" s="25" t="s">
        <v>119</v>
      </c>
      <c r="C75" s="10" t="s">
        <v>120</v>
      </c>
      <c r="D75" s="203"/>
      <c r="E75" s="202"/>
      <c r="F75" s="260"/>
      <c r="G75" s="349"/>
    </row>
    <row r="76" spans="2:7" ht="16.5" thickBot="1" x14ac:dyDescent="0.3">
      <c r="B76" s="14" t="s">
        <v>15</v>
      </c>
      <c r="C76" s="9" t="s">
        <v>122</v>
      </c>
      <c r="D76" s="200">
        <f>D54+D68</f>
        <v>1382586.899</v>
      </c>
      <c r="E76" s="209">
        <f>E54+E68</f>
        <v>1420986.9979999999</v>
      </c>
      <c r="F76" s="259">
        <f>F54+F68</f>
        <v>328552.43000000005</v>
      </c>
      <c r="G76" s="340">
        <f t="shared" si="4"/>
        <v>0.23121424084979564</v>
      </c>
    </row>
    <row r="77" spans="2:7" ht="16.5" thickBot="1" x14ac:dyDescent="0.3">
      <c r="B77" s="14" t="s">
        <v>20</v>
      </c>
      <c r="C77" s="9" t="s">
        <v>126</v>
      </c>
      <c r="D77" s="200">
        <f>SUM(D78:D80)</f>
        <v>0</v>
      </c>
      <c r="E77" s="209">
        <f>SUM(E78:E80)</f>
        <v>0</v>
      </c>
      <c r="F77" s="259">
        <f>SUM(F78:F80)</f>
        <v>0</v>
      </c>
      <c r="G77" s="350"/>
    </row>
    <row r="78" spans="2:7" x14ac:dyDescent="0.25">
      <c r="B78" s="21" t="s">
        <v>22</v>
      </c>
      <c r="C78" s="8" t="s">
        <v>123</v>
      </c>
      <c r="D78" s="201"/>
      <c r="E78" s="202"/>
      <c r="F78" s="260"/>
      <c r="G78" s="339"/>
    </row>
    <row r="79" spans="2:7" x14ac:dyDescent="0.25">
      <c r="B79" s="22" t="s">
        <v>26</v>
      </c>
      <c r="C79" s="4" t="s">
        <v>124</v>
      </c>
      <c r="D79" s="202"/>
      <c r="E79" s="202"/>
      <c r="F79" s="260"/>
      <c r="G79" s="339"/>
    </row>
    <row r="80" spans="2:7" ht="16.5" thickBot="1" x14ac:dyDescent="0.3">
      <c r="B80" s="25" t="s">
        <v>27</v>
      </c>
      <c r="C80" s="10" t="s">
        <v>125</v>
      </c>
      <c r="D80" s="203"/>
      <c r="E80" s="202"/>
      <c r="F80" s="260"/>
      <c r="G80" s="339"/>
    </row>
    <row r="81" spans="1:7" ht="16.5" thickBot="1" x14ac:dyDescent="0.3">
      <c r="B81" s="28" t="s">
        <v>29</v>
      </c>
      <c r="C81" s="29" t="s">
        <v>127</v>
      </c>
      <c r="D81" s="205"/>
      <c r="E81" s="202"/>
      <c r="F81" s="260"/>
      <c r="G81" s="349"/>
    </row>
    <row r="82" spans="1:7" ht="16.5" thickBot="1" x14ac:dyDescent="0.3">
      <c r="B82" s="14" t="s">
        <v>52</v>
      </c>
      <c r="C82" s="9" t="s">
        <v>130</v>
      </c>
      <c r="D82" s="200">
        <f>D83</f>
        <v>10927.733</v>
      </c>
      <c r="E82" s="209">
        <f>E83</f>
        <v>10927.733</v>
      </c>
      <c r="F82" s="259">
        <f>F83</f>
        <v>10927.733</v>
      </c>
      <c r="G82" s="340">
        <f t="shared" si="4"/>
        <v>1</v>
      </c>
    </row>
    <row r="83" spans="1:7" ht="16.5" thickBot="1" x14ac:dyDescent="0.3">
      <c r="B83" s="26" t="s">
        <v>128</v>
      </c>
      <c r="C83" s="27" t="s">
        <v>129</v>
      </c>
      <c r="D83" s="206">
        <v>10927.733</v>
      </c>
      <c r="E83" s="254">
        <v>10927.733</v>
      </c>
      <c r="F83" s="264">
        <v>10927.733</v>
      </c>
      <c r="G83" s="349">
        <f t="shared" si="4"/>
        <v>1</v>
      </c>
    </row>
    <row r="84" spans="1:7" ht="16.5" thickBot="1" x14ac:dyDescent="0.3">
      <c r="B84" s="14" t="s">
        <v>54</v>
      </c>
      <c r="C84" s="9" t="s">
        <v>131</v>
      </c>
      <c r="D84" s="200"/>
      <c r="E84" s="255"/>
      <c r="F84" s="535"/>
      <c r="G84" s="350"/>
    </row>
    <row r="85" spans="1:7" ht="16.5" thickBot="1" x14ac:dyDescent="0.3">
      <c r="B85" s="14" t="s">
        <v>56</v>
      </c>
      <c r="C85" s="9" t="s">
        <v>132</v>
      </c>
      <c r="D85" s="200"/>
      <c r="E85" s="255"/>
      <c r="F85" s="535"/>
      <c r="G85" s="350"/>
    </row>
    <row r="86" spans="1:7" ht="16.5" thickBot="1" x14ac:dyDescent="0.3">
      <c r="B86" s="14" t="s">
        <v>133</v>
      </c>
      <c r="C86" s="9" t="s">
        <v>134</v>
      </c>
      <c r="D86" s="200"/>
      <c r="E86" s="201"/>
      <c r="F86" s="535"/>
      <c r="G86" s="350"/>
    </row>
    <row r="87" spans="1:7" ht="16.5" thickBot="1" x14ac:dyDescent="0.3">
      <c r="B87" s="14" t="s">
        <v>59</v>
      </c>
      <c r="C87" s="9" t="s">
        <v>135</v>
      </c>
      <c r="D87" s="200">
        <f>D77+D81+D82+D84+D85+D86</f>
        <v>10927.733</v>
      </c>
      <c r="E87" s="209">
        <f>E77+E81+E82+E84+E85+E86</f>
        <v>10927.733</v>
      </c>
      <c r="F87" s="259">
        <f>F77+F81+F82+F84+F85+F86</f>
        <v>10927.733</v>
      </c>
      <c r="G87" s="340">
        <f t="shared" si="4"/>
        <v>1</v>
      </c>
    </row>
    <row r="88" spans="1:7" ht="16.5" thickBot="1" x14ac:dyDescent="0.3">
      <c r="B88" s="14" t="s">
        <v>67</v>
      </c>
      <c r="C88" s="9" t="s">
        <v>136</v>
      </c>
      <c r="D88" s="200">
        <f>D76+D87</f>
        <v>1393514.632</v>
      </c>
      <c r="E88" s="209">
        <f>E76+E87</f>
        <v>1431914.7309999999</v>
      </c>
      <c r="F88" s="259">
        <f>F76+F87</f>
        <v>339480.16300000006</v>
      </c>
      <c r="G88" s="340">
        <f t="shared" si="4"/>
        <v>0.23708127002989823</v>
      </c>
    </row>
    <row r="89" spans="1:7" x14ac:dyDescent="0.25">
      <c r="G89" s="331"/>
    </row>
    <row r="90" spans="1:7" s="30" customFormat="1" ht="29.25" customHeight="1" x14ac:dyDescent="0.25">
      <c r="A90" s="329"/>
      <c r="B90" s="345" t="s">
        <v>141</v>
      </c>
      <c r="C90" s="345"/>
      <c r="D90" s="345"/>
      <c r="E90" s="329"/>
      <c r="F90" s="536"/>
      <c r="G90" s="333"/>
    </row>
    <row r="91" spans="1:7" ht="16.5" thickBot="1" x14ac:dyDescent="0.3">
      <c r="B91" s="18" t="s">
        <v>142</v>
      </c>
      <c r="C91" s="1"/>
      <c r="D91" s="159"/>
      <c r="G91" s="331"/>
    </row>
    <row r="92" spans="1:7" s="329" customFormat="1" ht="32.25" thickBot="1" x14ac:dyDescent="0.3">
      <c r="B92" s="5" t="s">
        <v>3</v>
      </c>
      <c r="C92" s="346" t="s">
        <v>143</v>
      </c>
      <c r="D92" s="347">
        <f>D35-D76</f>
        <v>-447046.0199999999</v>
      </c>
      <c r="E92" s="348">
        <f>E35-E76</f>
        <v>-453686.92299999995</v>
      </c>
      <c r="F92" s="537">
        <f>F35-F76</f>
        <v>29229.608999999939</v>
      </c>
      <c r="G92" s="333"/>
    </row>
    <row r="93" spans="1:7" s="329" customFormat="1" ht="32.25" thickBot="1" x14ac:dyDescent="0.3">
      <c r="B93" s="5" t="s">
        <v>5</v>
      </c>
      <c r="C93" s="346" t="s">
        <v>144</v>
      </c>
      <c r="D93" s="347">
        <f>D48-D87</f>
        <v>447046.02</v>
      </c>
      <c r="E93" s="348">
        <f>E48-E87</f>
        <v>453686.92300000001</v>
      </c>
      <c r="F93" s="537">
        <f>F48-F87</f>
        <v>453686.92300000001</v>
      </c>
      <c r="G93" s="333"/>
    </row>
    <row r="94" spans="1:7" x14ac:dyDescent="0.25">
      <c r="G94" s="331"/>
    </row>
    <row r="95" spans="1:7" x14ac:dyDescent="0.25">
      <c r="G95" s="331"/>
    </row>
    <row r="96" spans="1:7" ht="31.5" x14ac:dyDescent="0.25">
      <c r="C96" s="176" t="s">
        <v>363</v>
      </c>
      <c r="E96" s="488" t="s">
        <v>393</v>
      </c>
      <c r="G96" s="331"/>
    </row>
    <row r="97" spans="3:7" x14ac:dyDescent="0.25">
      <c r="C97" s="2" t="s">
        <v>0</v>
      </c>
      <c r="G97" s="331"/>
    </row>
    <row r="98" spans="3:7" x14ac:dyDescent="0.25">
      <c r="C98" s="2" t="s">
        <v>364</v>
      </c>
      <c r="E98" s="520" t="s">
        <v>549</v>
      </c>
      <c r="G98" s="331"/>
    </row>
    <row r="99" spans="3:7" x14ac:dyDescent="0.25">
      <c r="C99" s="2" t="s">
        <v>372</v>
      </c>
      <c r="E99" s="520" t="s">
        <v>549</v>
      </c>
      <c r="G99" s="331"/>
    </row>
    <row r="100" spans="3:7" x14ac:dyDescent="0.25">
      <c r="C100" s="2" t="s">
        <v>558</v>
      </c>
      <c r="E100" s="520" t="s">
        <v>559</v>
      </c>
      <c r="G100" s="331"/>
    </row>
    <row r="101" spans="3:7" x14ac:dyDescent="0.25">
      <c r="C101" s="2" t="s">
        <v>373</v>
      </c>
      <c r="E101" s="520" t="s">
        <v>550</v>
      </c>
      <c r="G101" s="331"/>
    </row>
    <row r="102" spans="3:7" x14ac:dyDescent="0.25">
      <c r="C102" s="2" t="s">
        <v>535</v>
      </c>
      <c r="E102" s="520" t="s">
        <v>551</v>
      </c>
      <c r="G102" s="331"/>
    </row>
    <row r="103" spans="3:7" x14ac:dyDescent="0.25">
      <c r="E103" s="520"/>
      <c r="G103" s="331"/>
    </row>
    <row r="104" spans="3:7" x14ac:dyDescent="0.25">
      <c r="C104" s="2" t="s">
        <v>365</v>
      </c>
      <c r="E104" s="520"/>
      <c r="G104" s="331"/>
    </row>
    <row r="105" spans="3:7" x14ac:dyDescent="0.25">
      <c r="C105" s="2" t="s">
        <v>371</v>
      </c>
      <c r="E105" s="520" t="s">
        <v>552</v>
      </c>
      <c r="G105" s="331"/>
    </row>
    <row r="106" spans="3:7" x14ac:dyDescent="0.25">
      <c r="C106" s="2" t="s">
        <v>366</v>
      </c>
      <c r="E106" s="520" t="s">
        <v>549</v>
      </c>
      <c r="G106" s="331"/>
    </row>
    <row r="107" spans="3:7" x14ac:dyDescent="0.25">
      <c r="E107" s="520"/>
      <c r="G107" s="331"/>
    </row>
    <row r="108" spans="3:7" x14ac:dyDescent="0.25">
      <c r="C108" s="2" t="s">
        <v>367</v>
      </c>
      <c r="E108" s="520"/>
      <c r="G108" s="331"/>
    </row>
    <row r="109" spans="3:7" x14ac:dyDescent="0.25">
      <c r="C109" s="2" t="s">
        <v>553</v>
      </c>
      <c r="E109" s="520" t="s">
        <v>554</v>
      </c>
      <c r="G109" s="331"/>
    </row>
    <row r="110" spans="3:7" x14ac:dyDescent="0.25">
      <c r="E110" s="520"/>
      <c r="G110" s="331"/>
    </row>
    <row r="111" spans="3:7" x14ac:dyDescent="0.25">
      <c r="C111" s="2" t="s">
        <v>368</v>
      </c>
      <c r="E111" s="520"/>
      <c r="G111" s="331"/>
    </row>
    <row r="112" spans="3:7" x14ac:dyDescent="0.25">
      <c r="C112" s="2" t="s">
        <v>369</v>
      </c>
      <c r="E112" s="520" t="s">
        <v>555</v>
      </c>
      <c r="G112" s="331"/>
    </row>
    <row r="113" spans="3:7" x14ac:dyDescent="0.25">
      <c r="E113" s="520"/>
      <c r="G113" s="331"/>
    </row>
    <row r="114" spans="3:7" x14ac:dyDescent="0.25">
      <c r="C114" s="2" t="s">
        <v>370</v>
      </c>
      <c r="E114" s="520"/>
      <c r="G114" s="331"/>
    </row>
    <row r="115" spans="3:7" x14ac:dyDescent="0.25">
      <c r="C115" s="2" t="s">
        <v>556</v>
      </c>
      <c r="E115" s="520" t="s">
        <v>557</v>
      </c>
      <c r="G115" s="331"/>
    </row>
    <row r="116" spans="3:7" x14ac:dyDescent="0.25">
      <c r="E116" s="520"/>
      <c r="G116" s="331"/>
    </row>
    <row r="117" spans="3:7" x14ac:dyDescent="0.25">
      <c r="C117" s="2" t="s">
        <v>560</v>
      </c>
      <c r="E117" s="520">
        <v>163.6</v>
      </c>
      <c r="G117" s="331"/>
    </row>
    <row r="118" spans="3:7" x14ac:dyDescent="0.25">
      <c r="G118" s="331"/>
    </row>
    <row r="119" spans="3:7" x14ac:dyDescent="0.25">
      <c r="G119" s="331"/>
    </row>
    <row r="120" spans="3:7" x14ac:dyDescent="0.25">
      <c r="G120" s="331"/>
    </row>
    <row r="121" spans="3:7" x14ac:dyDescent="0.25">
      <c r="G121" s="331"/>
    </row>
    <row r="122" spans="3:7" x14ac:dyDescent="0.25">
      <c r="G122" s="331"/>
    </row>
    <row r="123" spans="3:7" x14ac:dyDescent="0.25">
      <c r="G123" s="331"/>
    </row>
    <row r="124" spans="3:7" x14ac:dyDescent="0.25">
      <c r="G124" s="331"/>
    </row>
    <row r="125" spans="3:7" x14ac:dyDescent="0.25">
      <c r="G125" s="331"/>
    </row>
    <row r="126" spans="3:7" x14ac:dyDescent="0.25">
      <c r="G126" s="331"/>
    </row>
    <row r="127" spans="3:7" x14ac:dyDescent="0.25">
      <c r="G127" s="331"/>
    </row>
    <row r="128" spans="3:7" x14ac:dyDescent="0.25">
      <c r="G128" s="331"/>
    </row>
    <row r="129" spans="7:7" x14ac:dyDescent="0.25">
      <c r="G129" s="331"/>
    </row>
    <row r="130" spans="7:7" x14ac:dyDescent="0.25">
      <c r="G130" s="331"/>
    </row>
    <row r="131" spans="7:7" x14ac:dyDescent="0.25">
      <c r="G131" s="331"/>
    </row>
    <row r="132" spans="7:7" x14ac:dyDescent="0.25">
      <c r="G132" s="331"/>
    </row>
    <row r="133" spans="7:7" x14ac:dyDescent="0.25">
      <c r="G133" s="331"/>
    </row>
    <row r="134" spans="7:7" x14ac:dyDescent="0.25">
      <c r="G134" s="331"/>
    </row>
    <row r="135" spans="7:7" x14ac:dyDescent="0.25">
      <c r="G135" s="331"/>
    </row>
    <row r="136" spans="7:7" x14ac:dyDescent="0.25">
      <c r="G136" s="331"/>
    </row>
    <row r="137" spans="7:7" x14ac:dyDescent="0.25">
      <c r="G137" s="331"/>
    </row>
    <row r="138" spans="7:7" x14ac:dyDescent="0.25">
      <c r="G138" s="331"/>
    </row>
    <row r="139" spans="7:7" x14ac:dyDescent="0.25">
      <c r="G139" s="331"/>
    </row>
    <row r="140" spans="7:7" x14ac:dyDescent="0.25">
      <c r="G140" s="331"/>
    </row>
    <row r="141" spans="7:7" x14ac:dyDescent="0.25">
      <c r="G141" s="331"/>
    </row>
    <row r="142" spans="7:7" x14ac:dyDescent="0.25">
      <c r="G142" s="331"/>
    </row>
    <row r="143" spans="7:7" x14ac:dyDescent="0.25">
      <c r="G143" s="331"/>
    </row>
    <row r="144" spans="7:7" x14ac:dyDescent="0.25">
      <c r="G144" s="331"/>
    </row>
    <row r="145" spans="7:7" x14ac:dyDescent="0.25">
      <c r="G145" s="331"/>
    </row>
    <row r="146" spans="7:7" x14ac:dyDescent="0.25">
      <c r="G146" s="331"/>
    </row>
    <row r="147" spans="7:7" x14ac:dyDescent="0.25">
      <c r="G147" s="331"/>
    </row>
    <row r="148" spans="7:7" x14ac:dyDescent="0.25">
      <c r="G148" s="331"/>
    </row>
    <row r="149" spans="7:7" x14ac:dyDescent="0.25">
      <c r="G149" s="331"/>
    </row>
    <row r="150" spans="7:7" x14ac:dyDescent="0.25">
      <c r="G150" s="331"/>
    </row>
    <row r="151" spans="7:7" x14ac:dyDescent="0.25">
      <c r="G151" s="331"/>
    </row>
    <row r="152" spans="7:7" x14ac:dyDescent="0.25">
      <c r="G152" s="331"/>
    </row>
    <row r="153" spans="7:7" x14ac:dyDescent="0.25">
      <c r="G153" s="331"/>
    </row>
    <row r="154" spans="7:7" x14ac:dyDescent="0.25">
      <c r="G154" s="331"/>
    </row>
    <row r="155" spans="7:7" x14ac:dyDescent="0.25">
      <c r="G155" s="331"/>
    </row>
    <row r="156" spans="7:7" x14ac:dyDescent="0.25">
      <c r="G156" s="331"/>
    </row>
    <row r="157" spans="7:7" x14ac:dyDescent="0.25">
      <c r="G157" s="331"/>
    </row>
    <row r="158" spans="7:7" x14ac:dyDescent="0.25">
      <c r="G158" s="331"/>
    </row>
    <row r="159" spans="7:7" x14ac:dyDescent="0.25">
      <c r="G159" s="331"/>
    </row>
    <row r="160" spans="7:7" x14ac:dyDescent="0.25">
      <c r="G160" s="331"/>
    </row>
    <row r="161" spans="7:7" x14ac:dyDescent="0.25">
      <c r="G161" s="331"/>
    </row>
    <row r="162" spans="7:7" x14ac:dyDescent="0.25">
      <c r="G162" s="331"/>
    </row>
    <row r="163" spans="7:7" x14ac:dyDescent="0.25">
      <c r="G163" s="331"/>
    </row>
    <row r="164" spans="7:7" x14ac:dyDescent="0.25">
      <c r="G164" s="331"/>
    </row>
    <row r="165" spans="7:7" x14ac:dyDescent="0.25">
      <c r="G165" s="331"/>
    </row>
    <row r="166" spans="7:7" x14ac:dyDescent="0.25">
      <c r="G166" s="331"/>
    </row>
    <row r="167" spans="7:7" x14ac:dyDescent="0.25">
      <c r="G167" s="331"/>
    </row>
    <row r="168" spans="7:7" x14ac:dyDescent="0.25">
      <c r="G168" s="331"/>
    </row>
    <row r="169" spans="7:7" x14ac:dyDescent="0.25">
      <c r="G169" s="331"/>
    </row>
    <row r="170" spans="7:7" x14ac:dyDescent="0.25">
      <c r="G170" s="331"/>
    </row>
    <row r="171" spans="7:7" x14ac:dyDescent="0.25">
      <c r="G171" s="331"/>
    </row>
  </sheetData>
  <mergeCells count="6">
    <mergeCell ref="A51:G51"/>
    <mergeCell ref="B1:E1"/>
    <mergeCell ref="A2:G2"/>
    <mergeCell ref="A3:G3"/>
    <mergeCell ref="A4:G4"/>
    <mergeCell ref="A5:G5"/>
  </mergeCells>
  <pageMargins left="0.70866141732283461" right="0.70866141732283461" top="0.74803149606299213" bottom="0.74803149606299213" header="0.31496062992125984" footer="0.31496062992125984"/>
  <pageSetup paperSize="9" scale="64" fitToHeight="2" orientation="portrait" r:id="rId1"/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7"/>
  <sheetViews>
    <sheetView view="pageBreakPreview" topLeftCell="C1" zoomScaleNormal="100" zoomScaleSheetLayoutView="100" workbookViewId="0">
      <selection activeCell="X6" sqref="X6"/>
    </sheetView>
  </sheetViews>
  <sheetFormatPr defaultRowHeight="15" x14ac:dyDescent="0.25"/>
  <cols>
    <col min="1" max="1" width="5.28515625" style="58" customWidth="1"/>
    <col min="2" max="2" width="13.28515625" style="58" customWidth="1"/>
    <col min="3" max="3" width="35.140625" style="58" customWidth="1"/>
    <col min="4" max="4" width="10.5703125" style="58" bestFit="1" customWidth="1"/>
    <col min="5" max="6" width="8.42578125" style="58" bestFit="1" customWidth="1"/>
    <col min="7" max="7" width="10.5703125" style="58" bestFit="1" customWidth="1"/>
    <col min="8" max="8" width="7.85546875" style="58" bestFit="1" customWidth="1"/>
    <col min="9" max="9" width="6.140625" style="58" bestFit="1" customWidth="1"/>
    <col min="10" max="10" width="10.5703125" style="58" bestFit="1" customWidth="1"/>
    <col min="11" max="11" width="7.85546875" style="58" bestFit="1" customWidth="1"/>
    <col min="12" max="12" width="6.140625" style="58" bestFit="1" customWidth="1"/>
    <col min="13" max="13" width="10.5703125" style="58" bestFit="1" customWidth="1"/>
    <col min="14" max="14" width="7.85546875" style="58" bestFit="1" customWidth="1"/>
    <col min="15" max="15" width="6.140625" style="58" bestFit="1" customWidth="1"/>
    <col min="16" max="16" width="10.5703125" style="58" bestFit="1" customWidth="1"/>
    <col min="17" max="17" width="7.85546875" style="58" bestFit="1" customWidth="1"/>
    <col min="18" max="18" width="6.140625" style="58" bestFit="1" customWidth="1"/>
    <col min="19" max="19" width="10.5703125" style="58" bestFit="1" customWidth="1"/>
    <col min="20" max="20" width="7.85546875" style="58" bestFit="1" customWidth="1"/>
    <col min="21" max="21" width="6.140625" style="58" bestFit="1" customWidth="1"/>
    <col min="22" max="24" width="11.28515625" style="58" bestFit="1" customWidth="1"/>
    <col min="25" max="25" width="11.42578125" style="58" customWidth="1"/>
    <col min="26" max="27" width="11.28515625" style="58" bestFit="1" customWidth="1"/>
    <col min="28" max="16384" width="9.140625" style="58"/>
  </cols>
  <sheetData>
    <row r="1" spans="1:28" x14ac:dyDescent="0.25">
      <c r="P1" s="571" t="s">
        <v>426</v>
      </c>
      <c r="Q1" s="571"/>
      <c r="R1" s="571"/>
      <c r="S1" s="572"/>
      <c r="T1" s="572"/>
      <c r="U1" s="572"/>
      <c r="V1" s="572"/>
      <c r="W1" s="572"/>
      <c r="X1" s="572"/>
      <c r="Y1" s="572"/>
    </row>
    <row r="2" spans="1:28" ht="54.75" customHeight="1" x14ac:dyDescent="0.25">
      <c r="A2" s="56">
        <v>1</v>
      </c>
      <c r="B2" s="56"/>
      <c r="C2" s="573" t="s">
        <v>427</v>
      </c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5"/>
    </row>
    <row r="3" spans="1:28" ht="84" customHeight="1" x14ac:dyDescent="0.25">
      <c r="A3" s="56">
        <v>2</v>
      </c>
      <c r="B3" s="62" t="s">
        <v>259</v>
      </c>
      <c r="C3" s="63" t="s">
        <v>203</v>
      </c>
      <c r="D3" s="560" t="s">
        <v>160</v>
      </c>
      <c r="E3" s="561"/>
      <c r="F3" s="562"/>
      <c r="G3" s="560" t="s">
        <v>159</v>
      </c>
      <c r="H3" s="561"/>
      <c r="I3" s="562"/>
      <c r="J3" s="560" t="s">
        <v>205</v>
      </c>
      <c r="K3" s="561"/>
      <c r="L3" s="562"/>
      <c r="M3" s="560" t="s">
        <v>206</v>
      </c>
      <c r="N3" s="561"/>
      <c r="O3" s="562"/>
      <c r="P3" s="560" t="s">
        <v>207</v>
      </c>
      <c r="Q3" s="561"/>
      <c r="R3" s="562"/>
      <c r="S3" s="560" t="s">
        <v>252</v>
      </c>
      <c r="T3" s="561"/>
      <c r="U3" s="562"/>
      <c r="V3" s="560" t="s">
        <v>253</v>
      </c>
      <c r="W3" s="561"/>
      <c r="X3" s="562"/>
      <c r="Y3" s="568" t="s">
        <v>209</v>
      </c>
      <c r="Z3" s="569"/>
      <c r="AA3" s="569"/>
      <c r="AB3" s="570"/>
    </row>
    <row r="4" spans="1:28" s="69" customFormat="1" ht="28.5" x14ac:dyDescent="0.25">
      <c r="A4" s="190">
        <v>3</v>
      </c>
      <c r="B4" s="82"/>
      <c r="C4" s="63" t="s">
        <v>254</v>
      </c>
      <c r="D4" s="64" t="s">
        <v>417</v>
      </c>
      <c r="E4" s="100" t="s">
        <v>412</v>
      </c>
      <c r="F4" s="100" t="s">
        <v>424</v>
      </c>
      <c r="G4" s="64" t="s">
        <v>417</v>
      </c>
      <c r="H4" s="100" t="s">
        <v>412</v>
      </c>
      <c r="I4" s="100" t="s">
        <v>424</v>
      </c>
      <c r="J4" s="64" t="s">
        <v>417</v>
      </c>
      <c r="K4" s="100" t="s">
        <v>412</v>
      </c>
      <c r="L4" s="100" t="s">
        <v>424</v>
      </c>
      <c r="M4" s="64" t="s">
        <v>417</v>
      </c>
      <c r="N4" s="100" t="s">
        <v>412</v>
      </c>
      <c r="O4" s="100" t="s">
        <v>424</v>
      </c>
      <c r="P4" s="64" t="s">
        <v>417</v>
      </c>
      <c r="Q4" s="100" t="s">
        <v>412</v>
      </c>
      <c r="R4" s="100" t="s">
        <v>424</v>
      </c>
      <c r="S4" s="64" t="s">
        <v>417</v>
      </c>
      <c r="T4" s="100" t="s">
        <v>412</v>
      </c>
      <c r="U4" s="100" t="s">
        <v>424</v>
      </c>
      <c r="V4" s="64" t="s">
        <v>417</v>
      </c>
      <c r="W4" s="100" t="s">
        <v>412</v>
      </c>
      <c r="X4" s="100" t="s">
        <v>424</v>
      </c>
      <c r="Y4" s="64" t="s">
        <v>417</v>
      </c>
      <c r="Z4" s="100" t="s">
        <v>412</v>
      </c>
      <c r="AA4" s="100" t="s">
        <v>424</v>
      </c>
      <c r="AB4" s="100" t="s">
        <v>425</v>
      </c>
    </row>
    <row r="5" spans="1:28" x14ac:dyDescent="0.25">
      <c r="A5" s="56">
        <v>4</v>
      </c>
      <c r="B5" s="65" t="s">
        <v>211</v>
      </c>
      <c r="C5" s="66" t="s">
        <v>270</v>
      </c>
      <c r="D5" s="155">
        <v>305.10000000000002</v>
      </c>
      <c r="E5" s="155">
        <v>305.10000000000002</v>
      </c>
      <c r="F5" s="155">
        <v>302.96199999999999</v>
      </c>
      <c r="G5" s="155"/>
      <c r="H5" s="155"/>
      <c r="I5" s="155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7">
        <v>97092.9</v>
      </c>
      <c r="W5" s="217">
        <v>97515.3</v>
      </c>
      <c r="X5" s="217">
        <v>45022.675000000003</v>
      </c>
      <c r="Y5" s="148">
        <f t="shared" ref="Y5:AA7" si="0">D5+G5+J5+M5+P5+S5+V5</f>
        <v>97398</v>
      </c>
      <c r="Z5" s="148">
        <f t="shared" si="0"/>
        <v>97820.400000000009</v>
      </c>
      <c r="AA5" s="148">
        <f>F5+I5+L5+O5+R5+U5+X5</f>
        <v>45325.637000000002</v>
      </c>
      <c r="AB5" s="279">
        <f>AA5/Z5</f>
        <v>0.46335567018740464</v>
      </c>
    </row>
    <row r="6" spans="1:28" x14ac:dyDescent="0.25">
      <c r="A6" s="56">
        <v>5</v>
      </c>
      <c r="B6" s="65" t="s">
        <v>217</v>
      </c>
      <c r="C6" s="66" t="s">
        <v>271</v>
      </c>
      <c r="D6" s="155"/>
      <c r="E6" s="155"/>
      <c r="F6" s="155"/>
      <c r="G6" s="155"/>
      <c r="H6" s="155"/>
      <c r="I6" s="155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>
        <v>170</v>
      </c>
      <c r="W6" s="217">
        <v>170</v>
      </c>
      <c r="X6" s="217"/>
      <c r="Y6" s="148">
        <f t="shared" si="0"/>
        <v>170</v>
      </c>
      <c r="Z6" s="148">
        <f t="shared" si="0"/>
        <v>170</v>
      </c>
      <c r="AA6" s="148">
        <f t="shared" si="0"/>
        <v>0</v>
      </c>
      <c r="AB6" s="279">
        <f t="shared" ref="AB6:AB9" si="1">AA6/Z6</f>
        <v>0</v>
      </c>
    </row>
    <row r="7" spans="1:28" s="69" customFormat="1" x14ac:dyDescent="0.25">
      <c r="A7" s="56">
        <v>6</v>
      </c>
      <c r="B7" s="67"/>
      <c r="C7" s="68" t="s">
        <v>257</v>
      </c>
      <c r="D7" s="218">
        <f t="shared" ref="D7:S7" si="2">SUM(D5:D6)</f>
        <v>305.10000000000002</v>
      </c>
      <c r="E7" s="218">
        <f t="shared" ref="E7:F7" si="3">SUM(E5:E6)</f>
        <v>305.10000000000002</v>
      </c>
      <c r="F7" s="218">
        <f t="shared" si="3"/>
        <v>302.96199999999999</v>
      </c>
      <c r="G7" s="218">
        <f t="shared" si="2"/>
        <v>0</v>
      </c>
      <c r="H7" s="218">
        <f t="shared" ref="H7:I7" si="4">SUM(H5:H6)</f>
        <v>0</v>
      </c>
      <c r="I7" s="218">
        <f t="shared" si="4"/>
        <v>0</v>
      </c>
      <c r="J7" s="218">
        <f t="shared" si="2"/>
        <v>0</v>
      </c>
      <c r="K7" s="218">
        <f t="shared" ref="K7:L7" si="5">SUM(K5:K6)</f>
        <v>0</v>
      </c>
      <c r="L7" s="218">
        <f t="shared" si="5"/>
        <v>0</v>
      </c>
      <c r="M7" s="218">
        <f t="shared" si="2"/>
        <v>0</v>
      </c>
      <c r="N7" s="218">
        <f t="shared" ref="N7:O7" si="6">SUM(N5:N6)</f>
        <v>0</v>
      </c>
      <c r="O7" s="218">
        <f t="shared" si="6"/>
        <v>0</v>
      </c>
      <c r="P7" s="218">
        <f t="shared" si="2"/>
        <v>0</v>
      </c>
      <c r="Q7" s="218">
        <f t="shared" ref="Q7:R7" si="7">SUM(Q5:Q6)</f>
        <v>0</v>
      </c>
      <c r="R7" s="218">
        <f t="shared" si="7"/>
        <v>0</v>
      </c>
      <c r="S7" s="218">
        <f t="shared" si="2"/>
        <v>0</v>
      </c>
      <c r="T7" s="218">
        <f t="shared" ref="T7:U7" si="8">SUM(T5:T6)</f>
        <v>0</v>
      </c>
      <c r="U7" s="218">
        <f t="shared" si="8"/>
        <v>0</v>
      </c>
      <c r="V7" s="219">
        <f>SUM(V5:V6)</f>
        <v>97262.9</v>
      </c>
      <c r="W7" s="219">
        <f>SUM(W5:W6)</f>
        <v>97685.3</v>
      </c>
      <c r="X7" s="219">
        <f>SUM(X5:X6)</f>
        <v>45022.675000000003</v>
      </c>
      <c r="Y7" s="148">
        <f t="shared" si="0"/>
        <v>97568</v>
      </c>
      <c r="Z7" s="148">
        <f t="shared" si="0"/>
        <v>97990.400000000009</v>
      </c>
      <c r="AA7" s="148">
        <f t="shared" si="0"/>
        <v>45325.637000000002</v>
      </c>
      <c r="AB7" s="278">
        <f t="shared" si="1"/>
        <v>0.46255181119783162</v>
      </c>
    </row>
    <row r="8" spans="1:28" x14ac:dyDescent="0.25">
      <c r="A8" s="56">
        <v>7</v>
      </c>
      <c r="B8" s="65"/>
      <c r="C8" s="66" t="s">
        <v>242</v>
      </c>
      <c r="D8" s="156">
        <f t="shared" ref="D8:Z8" si="9">SUMIF($B5:$B6,"kötelező",D5:D6)</f>
        <v>305.10000000000002</v>
      </c>
      <c r="E8" s="156">
        <f t="shared" ref="E8:F8" si="10">SUMIF($B5:$B6,"kötelező",E5:E6)</f>
        <v>305.10000000000002</v>
      </c>
      <c r="F8" s="156">
        <f t="shared" si="10"/>
        <v>302.96199999999999</v>
      </c>
      <c r="G8" s="156">
        <f t="shared" si="9"/>
        <v>0</v>
      </c>
      <c r="H8" s="156">
        <f t="shared" ref="H8:I8" si="11">SUMIF($B5:$B6,"kötelező",H5:H6)</f>
        <v>0</v>
      </c>
      <c r="I8" s="156">
        <f t="shared" si="11"/>
        <v>0</v>
      </c>
      <c r="J8" s="156">
        <f t="shared" si="9"/>
        <v>0</v>
      </c>
      <c r="K8" s="156">
        <f t="shared" ref="K8:L8" si="12">SUMIF($B5:$B6,"kötelező",K5:K6)</f>
        <v>0</v>
      </c>
      <c r="L8" s="156">
        <f t="shared" si="12"/>
        <v>0</v>
      </c>
      <c r="M8" s="156">
        <f t="shared" si="9"/>
        <v>0</v>
      </c>
      <c r="N8" s="156">
        <f t="shared" ref="N8:O8" si="13">SUMIF($B5:$B6,"kötelező",N5:N6)</f>
        <v>0</v>
      </c>
      <c r="O8" s="156">
        <f t="shared" si="13"/>
        <v>0</v>
      </c>
      <c r="P8" s="156">
        <f t="shared" si="9"/>
        <v>0</v>
      </c>
      <c r="Q8" s="156">
        <f t="shared" ref="Q8:R8" si="14">SUMIF($B5:$B6,"kötelező",Q5:Q6)</f>
        <v>0</v>
      </c>
      <c r="R8" s="156">
        <f t="shared" si="14"/>
        <v>0</v>
      </c>
      <c r="S8" s="156">
        <f t="shared" si="9"/>
        <v>0</v>
      </c>
      <c r="T8" s="156">
        <f t="shared" ref="T8:U8" si="15">SUMIF($B5:$B6,"kötelező",T5:T6)</f>
        <v>0</v>
      </c>
      <c r="U8" s="156">
        <f t="shared" si="15"/>
        <v>0</v>
      </c>
      <c r="V8" s="156">
        <f t="shared" si="9"/>
        <v>97092.9</v>
      </c>
      <c r="W8" s="156">
        <f t="shared" si="9"/>
        <v>97515.3</v>
      </c>
      <c r="X8" s="156">
        <f t="shared" ref="X8" si="16">SUMIF($B5:$B6,"kötelező",X5:X6)</f>
        <v>45022.675000000003</v>
      </c>
      <c r="Y8" s="156">
        <f t="shared" si="9"/>
        <v>97398</v>
      </c>
      <c r="Z8" s="156">
        <f t="shared" si="9"/>
        <v>97820.400000000009</v>
      </c>
      <c r="AA8" s="156">
        <f t="shared" ref="AA8" si="17">SUMIF($B5:$B6,"kötelező",AA5:AA6)</f>
        <v>45325.637000000002</v>
      </c>
      <c r="AB8" s="274">
        <f t="shared" si="1"/>
        <v>0.46335567018740464</v>
      </c>
    </row>
    <row r="9" spans="1:28" x14ac:dyDescent="0.25">
      <c r="A9" s="56">
        <v>8</v>
      </c>
      <c r="B9" s="65"/>
      <c r="C9" s="66" t="s">
        <v>243</v>
      </c>
      <c r="D9" s="156">
        <f t="shared" ref="D9:Z9" si="18">SUMIF($B5:$B6,"nem kötelező",D5:D6)</f>
        <v>0</v>
      </c>
      <c r="E9" s="156">
        <f t="shared" ref="E9:F9" si="19">SUMIF($B5:$B6,"nem kötelező",E5:E6)</f>
        <v>0</v>
      </c>
      <c r="F9" s="156">
        <f t="shared" si="19"/>
        <v>0</v>
      </c>
      <c r="G9" s="156">
        <f t="shared" si="18"/>
        <v>0</v>
      </c>
      <c r="H9" s="156">
        <f t="shared" ref="H9:I9" si="20">SUMIF($B5:$B6,"nem kötelező",H5:H6)</f>
        <v>0</v>
      </c>
      <c r="I9" s="156">
        <f t="shared" si="20"/>
        <v>0</v>
      </c>
      <c r="J9" s="156">
        <f t="shared" si="18"/>
        <v>0</v>
      </c>
      <c r="K9" s="156">
        <f t="shared" ref="K9:L9" si="21">SUMIF($B5:$B6,"nem kötelező",K5:K6)</f>
        <v>0</v>
      </c>
      <c r="L9" s="156">
        <f t="shared" si="21"/>
        <v>0</v>
      </c>
      <c r="M9" s="156">
        <f t="shared" si="18"/>
        <v>0</v>
      </c>
      <c r="N9" s="156">
        <f t="shared" ref="N9:O9" si="22">SUMIF($B5:$B6,"nem kötelező",N5:N6)</f>
        <v>0</v>
      </c>
      <c r="O9" s="156">
        <f t="shared" si="22"/>
        <v>0</v>
      </c>
      <c r="P9" s="156">
        <f t="shared" si="18"/>
        <v>0</v>
      </c>
      <c r="Q9" s="156">
        <f t="shared" ref="Q9:R9" si="23">SUMIF($B5:$B6,"nem kötelező",Q5:Q6)</f>
        <v>0</v>
      </c>
      <c r="R9" s="156">
        <f t="shared" si="23"/>
        <v>0</v>
      </c>
      <c r="S9" s="156">
        <f t="shared" si="18"/>
        <v>0</v>
      </c>
      <c r="T9" s="156">
        <f t="shared" ref="T9:U9" si="24">SUMIF($B5:$B6,"nem kötelező",T5:T6)</f>
        <v>0</v>
      </c>
      <c r="U9" s="156">
        <f t="shared" si="24"/>
        <v>0</v>
      </c>
      <c r="V9" s="156">
        <f t="shared" si="18"/>
        <v>170</v>
      </c>
      <c r="W9" s="156">
        <f t="shared" si="18"/>
        <v>170</v>
      </c>
      <c r="X9" s="156">
        <f t="shared" ref="X9" si="25">SUMIF($B5:$B6,"nem kötelező",X5:X6)</f>
        <v>0</v>
      </c>
      <c r="Y9" s="156">
        <f t="shared" si="18"/>
        <v>170</v>
      </c>
      <c r="Z9" s="156">
        <f t="shared" si="18"/>
        <v>170</v>
      </c>
      <c r="AA9" s="156">
        <f t="shared" ref="AA9" si="26">SUMIF($B5:$B6,"nem kötelező",AA5:AA6)</f>
        <v>0</v>
      </c>
      <c r="AB9" s="274">
        <f t="shared" si="1"/>
        <v>0</v>
      </c>
    </row>
    <row r="10" spans="1:28" x14ac:dyDescent="0.25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7" spans="7:7" x14ac:dyDescent="0.25">
      <c r="G17" s="58" t="s">
        <v>272</v>
      </c>
    </row>
  </sheetData>
  <mergeCells count="10">
    <mergeCell ref="S3:U3"/>
    <mergeCell ref="V3:X3"/>
    <mergeCell ref="Y3:AB3"/>
    <mergeCell ref="P1:Y1"/>
    <mergeCell ref="C2:AB2"/>
    <mergeCell ref="D3:F3"/>
    <mergeCell ref="G3:I3"/>
    <mergeCell ref="J3:L3"/>
    <mergeCell ref="M3:O3"/>
    <mergeCell ref="P3:R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5"/>
  <sheetViews>
    <sheetView view="pageBreakPreview" topLeftCell="F1" zoomScaleNormal="100" zoomScaleSheetLayoutView="100" workbookViewId="0">
      <selection activeCell="S22" sqref="S22"/>
    </sheetView>
  </sheetViews>
  <sheetFormatPr defaultRowHeight="15" x14ac:dyDescent="0.25"/>
  <cols>
    <col min="1" max="1" width="5.28515625" style="54" customWidth="1"/>
    <col min="2" max="2" width="13.28515625" style="54" customWidth="1"/>
    <col min="3" max="3" width="28" style="54" customWidth="1"/>
    <col min="4" max="6" width="10.140625" style="54" bestFit="1" customWidth="1"/>
    <col min="7" max="7" width="9.28515625" style="54" bestFit="1" customWidth="1"/>
    <col min="8" max="8" width="7.140625" style="54" bestFit="1" customWidth="1"/>
    <col min="9" max="9" width="6.140625" style="54" bestFit="1" customWidth="1"/>
    <col min="10" max="12" width="11.28515625" style="54" bestFit="1" customWidth="1"/>
    <col min="13" max="13" width="9.28515625" style="54" bestFit="1" customWidth="1"/>
    <col min="14" max="14" width="7.140625" style="54" bestFit="1" customWidth="1"/>
    <col min="15" max="15" width="6.140625" style="54" bestFit="1" customWidth="1"/>
    <col min="16" max="16" width="9.28515625" style="54" bestFit="1" customWidth="1"/>
    <col min="17" max="17" width="8.42578125" style="54" bestFit="1" customWidth="1"/>
    <col min="18" max="18" width="6.140625" style="54" bestFit="1" customWidth="1"/>
    <col min="19" max="19" width="11.140625" style="54" bestFit="1" customWidth="1"/>
    <col min="20" max="20" width="7.7109375" style="54" bestFit="1" customWidth="1"/>
    <col min="21" max="21" width="7.7109375" style="54" customWidth="1"/>
    <col min="22" max="24" width="11.28515625" style="54" bestFit="1" customWidth="1"/>
    <col min="25" max="27" width="10.140625" style="54" customWidth="1"/>
    <col min="28" max="28" width="12.42578125" style="54" customWidth="1"/>
    <col min="29" max="29" width="12" style="213" bestFit="1" customWidth="1"/>
    <col min="30" max="30" width="11.28515625" style="54" bestFit="1" customWidth="1"/>
    <col min="31" max="16384" width="9.140625" style="54"/>
  </cols>
  <sheetData>
    <row r="1" spans="1:31" x14ac:dyDescent="0.25">
      <c r="S1" s="47"/>
      <c r="T1" s="47"/>
      <c r="U1" s="47"/>
      <c r="V1" s="47"/>
      <c r="W1" s="47"/>
      <c r="X1" s="47"/>
      <c r="Y1" s="47"/>
      <c r="Z1" s="47"/>
      <c r="AA1" s="47"/>
      <c r="AB1" s="95" t="s">
        <v>428</v>
      </c>
    </row>
    <row r="2" spans="1:31" ht="58.5" customHeight="1" x14ac:dyDescent="0.25">
      <c r="A2" s="46">
        <v>1</v>
      </c>
      <c r="B2" s="46"/>
      <c r="C2" s="566" t="s">
        <v>429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</row>
    <row r="3" spans="1:31" s="173" customFormat="1" ht="57" customHeight="1" x14ac:dyDescent="0.2">
      <c r="A3" s="170">
        <v>2</v>
      </c>
      <c r="B3" s="171" t="s">
        <v>259</v>
      </c>
      <c r="C3" s="172" t="s">
        <v>203</v>
      </c>
      <c r="D3" s="576" t="s">
        <v>160</v>
      </c>
      <c r="E3" s="577"/>
      <c r="F3" s="578"/>
      <c r="G3" s="576" t="s">
        <v>159</v>
      </c>
      <c r="H3" s="577"/>
      <c r="I3" s="578"/>
      <c r="J3" s="576" t="s">
        <v>205</v>
      </c>
      <c r="K3" s="577"/>
      <c r="L3" s="578"/>
      <c r="M3" s="576" t="s">
        <v>206</v>
      </c>
      <c r="N3" s="577"/>
      <c r="O3" s="578"/>
      <c r="P3" s="576" t="s">
        <v>207</v>
      </c>
      <c r="Q3" s="577"/>
      <c r="R3" s="578"/>
      <c r="S3" s="576" t="s">
        <v>252</v>
      </c>
      <c r="T3" s="577"/>
      <c r="U3" s="578"/>
      <c r="V3" s="576" t="s">
        <v>253</v>
      </c>
      <c r="W3" s="577"/>
      <c r="X3" s="578"/>
      <c r="Y3" s="576" t="s">
        <v>334</v>
      </c>
      <c r="Z3" s="577"/>
      <c r="AA3" s="578"/>
      <c r="AB3" s="576" t="s">
        <v>209</v>
      </c>
      <c r="AC3" s="577"/>
      <c r="AD3" s="577"/>
      <c r="AE3" s="578"/>
    </row>
    <row r="4" spans="1:31" s="238" customFormat="1" ht="30" x14ac:dyDescent="0.25">
      <c r="A4" s="236">
        <v>3</v>
      </c>
      <c r="B4" s="239"/>
      <c r="C4" s="237" t="s">
        <v>254</v>
      </c>
      <c r="D4" s="215" t="s">
        <v>420</v>
      </c>
      <c r="E4" s="102" t="s">
        <v>412</v>
      </c>
      <c r="F4" s="102" t="s">
        <v>424</v>
      </c>
      <c r="G4" s="215" t="s">
        <v>420</v>
      </c>
      <c r="H4" s="102" t="s">
        <v>412</v>
      </c>
      <c r="I4" s="102" t="s">
        <v>424</v>
      </c>
      <c r="J4" s="215" t="s">
        <v>420</v>
      </c>
      <c r="K4" s="102" t="s">
        <v>412</v>
      </c>
      <c r="L4" s="102" t="s">
        <v>424</v>
      </c>
      <c r="M4" s="215" t="s">
        <v>420</v>
      </c>
      <c r="N4" s="102" t="s">
        <v>412</v>
      </c>
      <c r="O4" s="102" t="s">
        <v>424</v>
      </c>
      <c r="P4" s="215" t="s">
        <v>420</v>
      </c>
      <c r="Q4" s="102" t="s">
        <v>412</v>
      </c>
      <c r="R4" s="102" t="s">
        <v>424</v>
      </c>
      <c r="S4" s="215" t="s">
        <v>420</v>
      </c>
      <c r="T4" s="102" t="s">
        <v>412</v>
      </c>
      <c r="U4" s="102" t="s">
        <v>424</v>
      </c>
      <c r="V4" s="215" t="s">
        <v>420</v>
      </c>
      <c r="W4" s="102" t="s">
        <v>412</v>
      </c>
      <c r="X4" s="102" t="s">
        <v>424</v>
      </c>
      <c r="Y4" s="215" t="s">
        <v>420</v>
      </c>
      <c r="Z4" s="102" t="s">
        <v>412</v>
      </c>
      <c r="AA4" s="102" t="s">
        <v>424</v>
      </c>
      <c r="AB4" s="215" t="s">
        <v>420</v>
      </c>
      <c r="AC4" s="102" t="s">
        <v>412</v>
      </c>
      <c r="AD4" s="102" t="s">
        <v>424</v>
      </c>
      <c r="AE4" s="102" t="s">
        <v>425</v>
      </c>
    </row>
    <row r="5" spans="1:31" s="58" customFormat="1" x14ac:dyDescent="0.25">
      <c r="A5" s="56">
        <v>4</v>
      </c>
      <c r="B5" s="84" t="s">
        <v>211</v>
      </c>
      <c r="C5" s="85" t="s">
        <v>348</v>
      </c>
      <c r="D5" s="145">
        <v>1330.1</v>
      </c>
      <c r="E5" s="145">
        <v>1330.1</v>
      </c>
      <c r="F5" s="145">
        <v>570.07899999999995</v>
      </c>
      <c r="G5" s="145"/>
      <c r="H5" s="145"/>
      <c r="I5" s="145"/>
      <c r="J5" s="146">
        <v>2004</v>
      </c>
      <c r="K5" s="146">
        <v>2004</v>
      </c>
      <c r="L5" s="146">
        <v>645.03200000000004</v>
      </c>
      <c r="M5" s="146"/>
      <c r="N5" s="146"/>
      <c r="O5" s="146"/>
      <c r="P5" s="146"/>
      <c r="Q5" s="146"/>
      <c r="R5" s="146"/>
      <c r="S5" s="146"/>
      <c r="T5" s="146"/>
      <c r="U5" s="146"/>
      <c r="V5" s="147">
        <v>12763.9</v>
      </c>
      <c r="W5" s="147">
        <v>13743.816999999999</v>
      </c>
      <c r="X5" s="147">
        <f>6114.964+708.563</f>
        <v>6823.527</v>
      </c>
      <c r="Y5" s="147"/>
      <c r="Z5" s="147">
        <v>8.4</v>
      </c>
      <c r="AA5" s="147">
        <v>8.4</v>
      </c>
      <c r="AB5" s="148">
        <f t="shared" ref="AB5:AB11" si="0">D5+G5+J5+M5+P5+S5+V5</f>
        <v>16098</v>
      </c>
      <c r="AC5" s="214">
        <f>E5+H5+K5+N5+Q5+T5+W5+Z5</f>
        <v>17086.316999999999</v>
      </c>
      <c r="AD5" s="214">
        <f>F5+I5+L5+O5+R5+U5+X5+AA5</f>
        <v>8047.0379999999996</v>
      </c>
      <c r="AE5" s="279">
        <f>AD5/AC5</f>
        <v>0.47096387126611311</v>
      </c>
    </row>
    <row r="6" spans="1:31" s="58" customFormat="1" x14ac:dyDescent="0.25">
      <c r="A6" s="56">
        <v>6</v>
      </c>
      <c r="B6" s="84" t="s">
        <v>217</v>
      </c>
      <c r="C6" s="85" t="s">
        <v>349</v>
      </c>
      <c r="D6" s="145"/>
      <c r="E6" s="145"/>
      <c r="F6" s="145"/>
      <c r="G6" s="145"/>
      <c r="H6" s="145"/>
      <c r="I6" s="14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>
        <v>75</v>
      </c>
      <c r="W6" s="147">
        <v>75</v>
      </c>
      <c r="X6" s="147">
        <v>17.032</v>
      </c>
      <c r="Y6" s="147"/>
      <c r="Z6" s="147"/>
      <c r="AA6" s="147"/>
      <c r="AB6" s="148">
        <f t="shared" si="0"/>
        <v>75</v>
      </c>
      <c r="AC6" s="214">
        <f>E6+H6+K6+N6+Q6+T6+W6</f>
        <v>75</v>
      </c>
      <c r="AD6" s="214">
        <f t="shared" ref="AD6:AD11" si="1">F6+I6+L6+O6+R6+U6+X6</f>
        <v>17.032</v>
      </c>
      <c r="AE6" s="279">
        <f t="shared" ref="AE6:AE14" si="2">AD6/AC6</f>
        <v>0.22709333333333334</v>
      </c>
    </row>
    <row r="7" spans="1:31" s="58" customFormat="1" x14ac:dyDescent="0.25">
      <c r="A7" s="56">
        <v>7</v>
      </c>
      <c r="B7" s="84" t="s">
        <v>217</v>
      </c>
      <c r="C7" s="85" t="s">
        <v>350</v>
      </c>
      <c r="D7" s="145">
        <v>70</v>
      </c>
      <c r="E7" s="145">
        <v>70</v>
      </c>
      <c r="F7" s="145">
        <v>2.5</v>
      </c>
      <c r="G7" s="145"/>
      <c r="H7" s="145"/>
      <c r="I7" s="145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>
        <v>958</v>
      </c>
      <c r="W7" s="147">
        <v>958</v>
      </c>
      <c r="X7" s="147">
        <v>449.62799999999999</v>
      </c>
      <c r="Y7" s="147"/>
      <c r="Z7" s="147"/>
      <c r="AA7" s="147"/>
      <c r="AB7" s="148">
        <f t="shared" si="0"/>
        <v>1028</v>
      </c>
      <c r="AC7" s="214">
        <f>E7+H7+K7+N7+Q7+T7+W7</f>
        <v>1028</v>
      </c>
      <c r="AD7" s="214">
        <f t="shared" si="1"/>
        <v>452.12799999999999</v>
      </c>
      <c r="AE7" s="279">
        <f t="shared" si="2"/>
        <v>0.43981322957198443</v>
      </c>
    </row>
    <row r="8" spans="1:31" s="58" customFormat="1" x14ac:dyDescent="0.25">
      <c r="A8" s="56">
        <v>8</v>
      </c>
      <c r="B8" s="84" t="s">
        <v>217</v>
      </c>
      <c r="C8" s="85" t="s">
        <v>351</v>
      </c>
      <c r="D8" s="145">
        <v>335</v>
      </c>
      <c r="E8" s="145">
        <v>335</v>
      </c>
      <c r="F8" s="145">
        <v>20</v>
      </c>
      <c r="G8" s="145"/>
      <c r="H8" s="145"/>
      <c r="I8" s="145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>
        <v>2355</v>
      </c>
      <c r="W8" s="147">
        <v>2355</v>
      </c>
      <c r="X8" s="147">
        <v>27.068999999999999</v>
      </c>
      <c r="Y8" s="147"/>
      <c r="Z8" s="147"/>
      <c r="AA8" s="147"/>
      <c r="AB8" s="148">
        <f t="shared" si="0"/>
        <v>2690</v>
      </c>
      <c r="AC8" s="214">
        <f>E8+H8+K8+N8+Q8+T8+W8</f>
        <v>2690</v>
      </c>
      <c r="AD8" s="214">
        <f t="shared" si="1"/>
        <v>47.069000000000003</v>
      </c>
      <c r="AE8" s="279">
        <f t="shared" si="2"/>
        <v>1.7497769516728625E-2</v>
      </c>
    </row>
    <row r="9" spans="1:31" s="58" customFormat="1" x14ac:dyDescent="0.25">
      <c r="A9" s="56">
        <v>9</v>
      </c>
      <c r="B9" s="84" t="s">
        <v>217</v>
      </c>
      <c r="C9" s="85" t="s">
        <v>464</v>
      </c>
      <c r="D9" s="145"/>
      <c r="E9" s="145"/>
      <c r="F9" s="145"/>
      <c r="G9" s="145"/>
      <c r="H9" s="145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>
        <v>214</v>
      </c>
      <c r="W9" s="147">
        <v>214</v>
      </c>
      <c r="X9" s="147">
        <v>0</v>
      </c>
      <c r="Y9" s="147"/>
      <c r="Z9" s="147"/>
      <c r="AA9" s="147"/>
      <c r="AB9" s="148">
        <f t="shared" si="0"/>
        <v>214</v>
      </c>
      <c r="AC9" s="214">
        <f>E9+H9+K9+N9+Q9+T9+W9</f>
        <v>214</v>
      </c>
      <c r="AD9" s="214">
        <f t="shared" si="1"/>
        <v>0</v>
      </c>
      <c r="AE9" s="279">
        <f t="shared" si="2"/>
        <v>0</v>
      </c>
    </row>
    <row r="10" spans="1:31" s="58" customFormat="1" x14ac:dyDescent="0.25">
      <c r="A10" s="56"/>
      <c r="B10" s="84" t="s">
        <v>217</v>
      </c>
      <c r="C10" s="85" t="s">
        <v>465</v>
      </c>
      <c r="D10" s="145"/>
      <c r="E10" s="145"/>
      <c r="F10" s="145">
        <v>5.0000000000000001E-3</v>
      </c>
      <c r="G10" s="145"/>
      <c r="H10" s="145"/>
      <c r="I10" s="145"/>
      <c r="J10" s="146">
        <v>15158</v>
      </c>
      <c r="K10" s="146">
        <v>15158</v>
      </c>
      <c r="L10" s="146">
        <v>15157.98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147"/>
      <c r="X10" s="147"/>
      <c r="Y10" s="147"/>
      <c r="Z10" s="147"/>
      <c r="AA10" s="147"/>
      <c r="AB10" s="148">
        <f t="shared" si="0"/>
        <v>15158</v>
      </c>
      <c r="AC10" s="214">
        <f t="shared" ref="AC10:AC11" si="3">E10+H10+K10+N10+Q10+T10+W10</f>
        <v>15158</v>
      </c>
      <c r="AD10" s="214">
        <f t="shared" si="1"/>
        <v>15157.984999999999</v>
      </c>
      <c r="AE10" s="279">
        <f t="shared" si="2"/>
        <v>0.99999901042353867</v>
      </c>
    </row>
    <row r="11" spans="1:31" s="58" customFormat="1" x14ac:dyDescent="0.25">
      <c r="A11" s="56">
        <v>10</v>
      </c>
      <c r="B11" s="84" t="s">
        <v>217</v>
      </c>
      <c r="C11" s="85" t="s">
        <v>352</v>
      </c>
      <c r="D11" s="145">
        <v>3500</v>
      </c>
      <c r="E11" s="145">
        <v>3500</v>
      </c>
      <c r="F11" s="145">
        <v>333</v>
      </c>
      <c r="G11" s="145"/>
      <c r="H11" s="145"/>
      <c r="I11" s="145"/>
      <c r="J11" s="146"/>
      <c r="K11" s="146"/>
      <c r="L11" s="146"/>
      <c r="M11" s="146"/>
      <c r="N11" s="146"/>
      <c r="O11" s="146"/>
      <c r="P11" s="146">
        <v>210</v>
      </c>
      <c r="Q11" s="146">
        <v>210</v>
      </c>
      <c r="R11" s="146"/>
      <c r="S11" s="146"/>
      <c r="T11" s="146"/>
      <c r="U11" s="146"/>
      <c r="V11" s="147">
        <v>7282</v>
      </c>
      <c r="W11" s="147">
        <v>7282</v>
      </c>
      <c r="X11" s="147"/>
      <c r="Y11" s="147"/>
      <c r="Z11" s="147"/>
      <c r="AA11" s="147"/>
      <c r="AB11" s="148">
        <f t="shared" si="0"/>
        <v>10992</v>
      </c>
      <c r="AC11" s="214">
        <f t="shared" si="3"/>
        <v>10992</v>
      </c>
      <c r="AD11" s="214">
        <f t="shared" si="1"/>
        <v>333</v>
      </c>
      <c r="AE11" s="279">
        <f t="shared" si="2"/>
        <v>3.0294759825327512E-2</v>
      </c>
    </row>
    <row r="12" spans="1:31" ht="15.75" x14ac:dyDescent="0.25">
      <c r="A12" s="56">
        <v>11</v>
      </c>
      <c r="B12" s="46"/>
      <c r="C12" s="50" t="s">
        <v>257</v>
      </c>
      <c r="D12" s="152">
        <f>SUM(D5:D11)</f>
        <v>5235.1000000000004</v>
      </c>
      <c r="E12" s="152">
        <f t="shared" ref="E12:AC12" si="4">SUM(E5:E11)</f>
        <v>5235.1000000000004</v>
      </c>
      <c r="F12" s="515">
        <f t="shared" si="4"/>
        <v>925.58399999999995</v>
      </c>
      <c r="G12" s="152">
        <f t="shared" si="4"/>
        <v>0</v>
      </c>
      <c r="H12" s="152">
        <f t="shared" si="4"/>
        <v>0</v>
      </c>
      <c r="I12" s="152">
        <f t="shared" si="4"/>
        <v>0</v>
      </c>
      <c r="J12" s="152">
        <f t="shared" si="4"/>
        <v>17162</v>
      </c>
      <c r="K12" s="152">
        <f t="shared" si="4"/>
        <v>17162</v>
      </c>
      <c r="L12" s="515">
        <f t="shared" si="4"/>
        <v>15803.011999999999</v>
      </c>
      <c r="M12" s="152">
        <f t="shared" si="4"/>
        <v>0</v>
      </c>
      <c r="N12" s="152">
        <f t="shared" si="4"/>
        <v>0</v>
      </c>
      <c r="O12" s="152">
        <f t="shared" si="4"/>
        <v>0</v>
      </c>
      <c r="P12" s="152">
        <f t="shared" si="4"/>
        <v>210</v>
      </c>
      <c r="Q12" s="152">
        <f t="shared" si="4"/>
        <v>210</v>
      </c>
      <c r="R12" s="152">
        <f t="shared" si="4"/>
        <v>0</v>
      </c>
      <c r="S12" s="152">
        <f t="shared" si="4"/>
        <v>0</v>
      </c>
      <c r="T12" s="152">
        <f t="shared" si="4"/>
        <v>0</v>
      </c>
      <c r="U12" s="152">
        <f t="shared" si="4"/>
        <v>0</v>
      </c>
      <c r="V12" s="152">
        <f t="shared" si="4"/>
        <v>23647.9</v>
      </c>
      <c r="W12" s="152">
        <f t="shared" si="4"/>
        <v>24627.816999999999</v>
      </c>
      <c r="X12" s="152">
        <f t="shared" si="4"/>
        <v>7317.2560000000003</v>
      </c>
      <c r="Y12" s="152">
        <f t="shared" si="4"/>
        <v>0</v>
      </c>
      <c r="Z12" s="152">
        <f t="shared" si="4"/>
        <v>8.4</v>
      </c>
      <c r="AA12" s="515">
        <f t="shared" si="4"/>
        <v>8.4</v>
      </c>
      <c r="AB12" s="152">
        <f t="shared" si="4"/>
        <v>46255</v>
      </c>
      <c r="AC12" s="152">
        <f t="shared" si="4"/>
        <v>47243.316999999995</v>
      </c>
      <c r="AD12" s="152">
        <f>SUM(AD5:AD11)</f>
        <v>24054.252</v>
      </c>
      <c r="AE12" s="279">
        <f t="shared" si="2"/>
        <v>0.50915671310716826</v>
      </c>
    </row>
    <row r="13" spans="1:31" x14ac:dyDescent="0.25">
      <c r="A13" s="56">
        <v>12</v>
      </c>
      <c r="B13" s="59"/>
      <c r="C13" s="60" t="s">
        <v>242</v>
      </c>
      <c r="D13" s="153">
        <f>SUMIF($B5:$B11,"kötelező",D5:D11)</f>
        <v>1330.1</v>
      </c>
      <c r="E13" s="153">
        <f t="shared" ref="E13:AD13" si="5">SUMIF($B5:$B11,"kötelező",E5:E11)</f>
        <v>1330.1</v>
      </c>
      <c r="F13" s="153">
        <f t="shared" si="5"/>
        <v>570.07899999999995</v>
      </c>
      <c r="G13" s="153">
        <f t="shared" si="5"/>
        <v>0</v>
      </c>
      <c r="H13" s="153">
        <f t="shared" si="5"/>
        <v>0</v>
      </c>
      <c r="I13" s="153">
        <f t="shared" si="5"/>
        <v>0</v>
      </c>
      <c r="J13" s="153">
        <f t="shared" si="5"/>
        <v>2004</v>
      </c>
      <c r="K13" s="153">
        <f t="shared" si="5"/>
        <v>2004</v>
      </c>
      <c r="L13" s="153">
        <f t="shared" si="5"/>
        <v>645.03200000000004</v>
      </c>
      <c r="M13" s="153">
        <f t="shared" si="5"/>
        <v>0</v>
      </c>
      <c r="N13" s="153">
        <f t="shared" si="5"/>
        <v>0</v>
      </c>
      <c r="O13" s="153">
        <f t="shared" si="5"/>
        <v>0</v>
      </c>
      <c r="P13" s="153">
        <f t="shared" si="5"/>
        <v>0</v>
      </c>
      <c r="Q13" s="153">
        <f t="shared" si="5"/>
        <v>0</v>
      </c>
      <c r="R13" s="153">
        <f t="shared" si="5"/>
        <v>0</v>
      </c>
      <c r="S13" s="153">
        <f t="shared" si="5"/>
        <v>0</v>
      </c>
      <c r="T13" s="153">
        <f t="shared" si="5"/>
        <v>0</v>
      </c>
      <c r="U13" s="153">
        <f t="shared" si="5"/>
        <v>0</v>
      </c>
      <c r="V13" s="153">
        <f t="shared" si="5"/>
        <v>12763.9</v>
      </c>
      <c r="W13" s="153">
        <f t="shared" si="5"/>
        <v>13743.816999999999</v>
      </c>
      <c r="X13" s="153">
        <f t="shared" si="5"/>
        <v>6823.527</v>
      </c>
      <c r="Y13" s="153">
        <f t="shared" si="5"/>
        <v>0</v>
      </c>
      <c r="Z13" s="153">
        <f t="shared" si="5"/>
        <v>8.4</v>
      </c>
      <c r="AA13" s="153">
        <f t="shared" si="5"/>
        <v>8.4</v>
      </c>
      <c r="AB13" s="153">
        <f t="shared" si="5"/>
        <v>16098</v>
      </c>
      <c r="AC13" s="153">
        <f t="shared" si="5"/>
        <v>17086.316999999999</v>
      </c>
      <c r="AD13" s="153">
        <f t="shared" si="5"/>
        <v>8047.0379999999996</v>
      </c>
      <c r="AE13" s="274">
        <f t="shared" si="2"/>
        <v>0.47096387126611311</v>
      </c>
    </row>
    <row r="14" spans="1:31" x14ac:dyDescent="0.25">
      <c r="A14" s="56">
        <v>13</v>
      </c>
      <c r="B14" s="59"/>
      <c r="C14" s="60" t="s">
        <v>243</v>
      </c>
      <c r="D14" s="153">
        <f>SUMIF($B5:$B11,"nem kötelező",D5:D11)</f>
        <v>3905</v>
      </c>
      <c r="E14" s="153">
        <f t="shared" ref="E14:AC14" si="6">SUMIF($B5:$B11,"nem kötelező",E5:E11)</f>
        <v>3905</v>
      </c>
      <c r="F14" s="153">
        <f t="shared" si="6"/>
        <v>355.505</v>
      </c>
      <c r="G14" s="153">
        <f t="shared" si="6"/>
        <v>0</v>
      </c>
      <c r="H14" s="153">
        <f t="shared" si="6"/>
        <v>0</v>
      </c>
      <c r="I14" s="153">
        <f t="shared" si="6"/>
        <v>0</v>
      </c>
      <c r="J14" s="153">
        <f t="shared" si="6"/>
        <v>15158</v>
      </c>
      <c r="K14" s="153">
        <f t="shared" si="6"/>
        <v>15158</v>
      </c>
      <c r="L14" s="153">
        <f t="shared" si="6"/>
        <v>15157.98</v>
      </c>
      <c r="M14" s="153">
        <f t="shared" si="6"/>
        <v>0</v>
      </c>
      <c r="N14" s="153">
        <f t="shared" si="6"/>
        <v>0</v>
      </c>
      <c r="O14" s="153">
        <f t="shared" si="6"/>
        <v>0</v>
      </c>
      <c r="P14" s="153">
        <f t="shared" si="6"/>
        <v>210</v>
      </c>
      <c r="Q14" s="153">
        <f t="shared" si="6"/>
        <v>210</v>
      </c>
      <c r="R14" s="153">
        <f t="shared" si="6"/>
        <v>0</v>
      </c>
      <c r="S14" s="153">
        <f t="shared" si="6"/>
        <v>0</v>
      </c>
      <c r="T14" s="153">
        <f t="shared" si="6"/>
        <v>0</v>
      </c>
      <c r="U14" s="153">
        <f t="shared" si="6"/>
        <v>0</v>
      </c>
      <c r="V14" s="153">
        <f t="shared" si="6"/>
        <v>10884</v>
      </c>
      <c r="W14" s="153">
        <f t="shared" si="6"/>
        <v>10884</v>
      </c>
      <c r="X14" s="153">
        <f t="shared" si="6"/>
        <v>493.72899999999998</v>
      </c>
      <c r="Y14" s="153">
        <f t="shared" si="6"/>
        <v>0</v>
      </c>
      <c r="Z14" s="153">
        <f t="shared" si="6"/>
        <v>0</v>
      </c>
      <c r="AA14" s="153">
        <f t="shared" si="6"/>
        <v>0</v>
      </c>
      <c r="AB14" s="153">
        <f t="shared" si="6"/>
        <v>30157</v>
      </c>
      <c r="AC14" s="153">
        <f t="shared" si="6"/>
        <v>30157</v>
      </c>
      <c r="AD14" s="153">
        <f>SUMIF($B5:$B11,"nem kötelező",AD5:AD11)</f>
        <v>16007.213999999998</v>
      </c>
      <c r="AE14" s="274">
        <f t="shared" si="2"/>
        <v>0.53079596776867721</v>
      </c>
    </row>
    <row r="15" spans="1:31" x14ac:dyDescent="0.2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</sheetData>
  <mergeCells count="10">
    <mergeCell ref="V3:X3"/>
    <mergeCell ref="AB3:AE3"/>
    <mergeCell ref="C2:AE2"/>
    <mergeCell ref="D3:F3"/>
    <mergeCell ref="G3:I3"/>
    <mergeCell ref="J3:L3"/>
    <mergeCell ref="M3:O3"/>
    <mergeCell ref="P3:R3"/>
    <mergeCell ref="S3:U3"/>
    <mergeCell ref="Y3:AA3"/>
  </mergeCells>
  <printOptions horizontalCentered="1"/>
  <pageMargins left="0.70866141732283472" right="0.15748031496062992" top="0.74803149606299213" bottom="0.74803149606299213" header="0.31496062992125984" footer="0.31496062992125984"/>
  <pageSetup paperSize="8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97"/>
  <sheetViews>
    <sheetView view="pageBreakPreview" zoomScaleNormal="100" zoomScaleSheetLayoutView="100" workbookViewId="0">
      <pane xSplit="4" ySplit="4" topLeftCell="E53" activePane="bottomRight" state="frozen"/>
      <selection pane="topRight" activeCell="D1" sqref="D1"/>
      <selection pane="bottomLeft" activeCell="A6" sqref="A6"/>
      <selection pane="bottomRight" activeCell="G70" sqref="G70"/>
    </sheetView>
  </sheetViews>
  <sheetFormatPr defaultRowHeight="15" x14ac:dyDescent="0.25"/>
  <cols>
    <col min="1" max="2" width="6" style="79" customWidth="1"/>
    <col min="3" max="3" width="15" style="79" customWidth="1"/>
    <col min="4" max="4" width="63.5703125" style="79" customWidth="1"/>
    <col min="5" max="7" width="12.42578125" style="79" customWidth="1"/>
    <col min="8" max="10" width="13.28515625" style="79" customWidth="1"/>
    <col min="11" max="11" width="13.85546875" style="79" customWidth="1"/>
    <col min="12" max="13" width="13" style="79" customWidth="1"/>
    <col min="14" max="19" width="13.5703125" style="79" customWidth="1"/>
    <col min="20" max="22" width="12.28515625" style="79" customWidth="1"/>
    <col min="23" max="28" width="13.7109375" style="79" customWidth="1"/>
    <col min="29" max="31" width="14.85546875" style="79" customWidth="1"/>
    <col min="32" max="37" width="12.28515625" style="79" customWidth="1"/>
    <col min="38" max="40" width="13" style="79" customWidth="1"/>
    <col min="41" max="42" width="14.28515625" style="79" bestFit="1" customWidth="1"/>
    <col min="43" max="43" width="14.28515625" style="79" customWidth="1"/>
    <col min="44" max="44" width="14.28515625" style="326" customWidth="1"/>
    <col min="45" max="46" width="12.5703125" style="79" bestFit="1" customWidth="1"/>
    <col min="47" max="47" width="12.42578125" style="79" bestFit="1" customWidth="1"/>
    <col min="48" max="48" width="10.85546875" style="79" bestFit="1" customWidth="1"/>
    <col min="49" max="49" width="16.42578125" style="79" customWidth="1"/>
    <col min="50" max="51" width="12.28515625" style="79" hidden="1" customWidth="1"/>
    <col min="52" max="52" width="10.140625" style="79" bestFit="1" customWidth="1"/>
    <col min="53" max="16384" width="9.140625" style="79"/>
  </cols>
  <sheetData>
    <row r="1" spans="1:51" x14ac:dyDescent="0.25">
      <c r="AI1" s="584" t="s">
        <v>430</v>
      </c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275"/>
      <c r="AU1" s="275"/>
      <c r="AV1" s="275"/>
      <c r="AW1" s="174"/>
    </row>
    <row r="2" spans="1:51" ht="52.5" customHeight="1" x14ac:dyDescent="0.25">
      <c r="A2" s="76">
        <v>1</v>
      </c>
      <c r="B2" s="76"/>
      <c r="C2" s="76"/>
      <c r="D2" s="582" t="s">
        <v>431</v>
      </c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583"/>
      <c r="AU2" s="583"/>
      <c r="AV2" s="583"/>
      <c r="AW2" s="583"/>
      <c r="AX2" s="97"/>
      <c r="AY2" s="97"/>
    </row>
    <row r="3" spans="1:51" ht="72.75" customHeight="1" x14ac:dyDescent="0.25">
      <c r="A3" s="76">
        <v>2</v>
      </c>
      <c r="B3" s="76"/>
      <c r="C3" s="98" t="s">
        <v>202</v>
      </c>
      <c r="D3" s="99" t="s">
        <v>203</v>
      </c>
      <c r="E3" s="579" t="s">
        <v>91</v>
      </c>
      <c r="F3" s="580"/>
      <c r="G3" s="581"/>
      <c r="H3" s="579" t="s">
        <v>274</v>
      </c>
      <c r="I3" s="580"/>
      <c r="J3" s="581"/>
      <c r="K3" s="579" t="s">
        <v>93</v>
      </c>
      <c r="L3" s="580"/>
      <c r="M3" s="581"/>
      <c r="N3" s="579" t="s">
        <v>275</v>
      </c>
      <c r="O3" s="580"/>
      <c r="P3" s="581"/>
      <c r="Q3" s="579" t="s">
        <v>276</v>
      </c>
      <c r="R3" s="580"/>
      <c r="S3" s="581"/>
      <c r="T3" s="579" t="s">
        <v>277</v>
      </c>
      <c r="U3" s="580"/>
      <c r="V3" s="581"/>
      <c r="W3" s="579" t="s">
        <v>355</v>
      </c>
      <c r="X3" s="580"/>
      <c r="Y3" s="581"/>
      <c r="Z3" s="579" t="s">
        <v>356</v>
      </c>
      <c r="AA3" s="580"/>
      <c r="AB3" s="581"/>
      <c r="AC3" s="579" t="s">
        <v>109</v>
      </c>
      <c r="AD3" s="580"/>
      <c r="AE3" s="581"/>
      <c r="AF3" s="579" t="s">
        <v>112</v>
      </c>
      <c r="AG3" s="580"/>
      <c r="AH3" s="581"/>
      <c r="AI3" s="579" t="s">
        <v>278</v>
      </c>
      <c r="AJ3" s="580"/>
      <c r="AK3" s="581"/>
      <c r="AL3" s="579" t="s">
        <v>279</v>
      </c>
      <c r="AM3" s="580"/>
      <c r="AN3" s="581"/>
      <c r="AO3" s="579" t="s">
        <v>246</v>
      </c>
      <c r="AP3" s="580"/>
      <c r="AQ3" s="580"/>
      <c r="AR3" s="581"/>
      <c r="AS3" s="579" t="s">
        <v>280</v>
      </c>
      <c r="AT3" s="580"/>
      <c r="AU3" s="580"/>
      <c r="AV3" s="581"/>
      <c r="AW3" s="100" t="s">
        <v>281</v>
      </c>
      <c r="AX3" s="101"/>
      <c r="AY3" s="101"/>
    </row>
    <row r="4" spans="1:51" ht="30" x14ac:dyDescent="0.25">
      <c r="A4" s="76">
        <v>3</v>
      </c>
      <c r="B4" s="76"/>
      <c r="C4" s="98"/>
      <c r="D4" s="99" t="s">
        <v>282</v>
      </c>
      <c r="E4" s="102" t="s">
        <v>432</v>
      </c>
      <c r="F4" s="102" t="s">
        <v>412</v>
      </c>
      <c r="G4" s="102" t="s">
        <v>424</v>
      </c>
      <c r="H4" s="102" t="s">
        <v>432</v>
      </c>
      <c r="I4" s="102" t="s">
        <v>412</v>
      </c>
      <c r="J4" s="102" t="s">
        <v>424</v>
      </c>
      <c r="K4" s="102" t="s">
        <v>432</v>
      </c>
      <c r="L4" s="102" t="s">
        <v>412</v>
      </c>
      <c r="M4" s="102" t="s">
        <v>424</v>
      </c>
      <c r="N4" s="102" t="s">
        <v>432</v>
      </c>
      <c r="O4" s="102" t="s">
        <v>412</v>
      </c>
      <c r="P4" s="102" t="s">
        <v>424</v>
      </c>
      <c r="Q4" s="102" t="s">
        <v>432</v>
      </c>
      <c r="R4" s="102" t="s">
        <v>412</v>
      </c>
      <c r="S4" s="102" t="s">
        <v>424</v>
      </c>
      <c r="T4" s="102" t="s">
        <v>432</v>
      </c>
      <c r="U4" s="102" t="s">
        <v>412</v>
      </c>
      <c r="V4" s="102" t="s">
        <v>424</v>
      </c>
      <c r="W4" s="102" t="s">
        <v>432</v>
      </c>
      <c r="X4" s="102" t="s">
        <v>412</v>
      </c>
      <c r="Y4" s="102" t="s">
        <v>424</v>
      </c>
      <c r="Z4" s="102" t="s">
        <v>432</v>
      </c>
      <c r="AA4" s="102" t="s">
        <v>412</v>
      </c>
      <c r="AB4" s="102" t="s">
        <v>424</v>
      </c>
      <c r="AC4" s="102" t="s">
        <v>433</v>
      </c>
      <c r="AD4" s="102" t="s">
        <v>412</v>
      </c>
      <c r="AE4" s="102" t="s">
        <v>424</v>
      </c>
      <c r="AF4" s="102" t="s">
        <v>432</v>
      </c>
      <c r="AG4" s="102" t="s">
        <v>412</v>
      </c>
      <c r="AH4" s="102" t="s">
        <v>424</v>
      </c>
      <c r="AI4" s="102" t="s">
        <v>432</v>
      </c>
      <c r="AJ4" s="102" t="s">
        <v>412</v>
      </c>
      <c r="AK4" s="102" t="s">
        <v>424</v>
      </c>
      <c r="AL4" s="102" t="s">
        <v>432</v>
      </c>
      <c r="AM4" s="102" t="s">
        <v>412</v>
      </c>
      <c r="AN4" s="102" t="s">
        <v>424</v>
      </c>
      <c r="AO4" s="102" t="s">
        <v>433</v>
      </c>
      <c r="AP4" s="102" t="s">
        <v>412</v>
      </c>
      <c r="AQ4" s="102" t="s">
        <v>424</v>
      </c>
      <c r="AR4" s="324" t="s">
        <v>425</v>
      </c>
      <c r="AS4" s="102" t="s">
        <v>433</v>
      </c>
      <c r="AT4" s="102" t="s">
        <v>412</v>
      </c>
      <c r="AU4" s="102" t="s">
        <v>424</v>
      </c>
      <c r="AV4" s="324" t="s">
        <v>425</v>
      </c>
      <c r="AW4" s="102" t="s">
        <v>432</v>
      </c>
      <c r="AX4" s="102" t="s">
        <v>434</v>
      </c>
      <c r="AY4" s="102" t="s">
        <v>210</v>
      </c>
    </row>
    <row r="5" spans="1:51" x14ac:dyDescent="0.25">
      <c r="A5" s="76">
        <v>4</v>
      </c>
      <c r="B5" s="76">
        <v>504</v>
      </c>
      <c r="C5" s="76" t="s">
        <v>217</v>
      </c>
      <c r="D5" s="77" t="s">
        <v>283</v>
      </c>
      <c r="E5" s="130">
        <v>423</v>
      </c>
      <c r="F5" s="130">
        <v>423</v>
      </c>
      <c r="G5" s="130">
        <v>178.62</v>
      </c>
      <c r="H5" s="130"/>
      <c r="I5" s="130"/>
      <c r="J5" s="130"/>
      <c r="K5" s="130">
        <v>577</v>
      </c>
      <c r="L5" s="130">
        <v>577</v>
      </c>
      <c r="M5" s="130">
        <v>355.67500000000001</v>
      </c>
      <c r="N5" s="130"/>
      <c r="O5" s="130"/>
      <c r="P5" s="130"/>
      <c r="Q5" s="130"/>
      <c r="R5" s="130">
        <v>190</v>
      </c>
      <c r="S5" s="130">
        <v>190</v>
      </c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1">
        <f t="shared" ref="AO5:AO8" si="0">AL5+AI5+AF5+AC5+W5+Q5+N5+K5+H5+E5+T5</f>
        <v>1000</v>
      </c>
      <c r="AP5" s="131">
        <f>F5+I5+L5+O5+R5+U5+X5+AA5+AD5+AG5+AJ5+AM5</f>
        <v>1190</v>
      </c>
      <c r="AQ5" s="131">
        <f>G5+J5+M5+P5+S5+V5+Y5+AB5+AE5+AH5+AK5+AN5</f>
        <v>724.29500000000007</v>
      </c>
      <c r="AR5" s="325">
        <f>AQ5/AP5</f>
        <v>0.60865126050420171</v>
      </c>
      <c r="AS5" s="132"/>
      <c r="AT5" s="132"/>
      <c r="AU5" s="132"/>
      <c r="AV5" s="132"/>
      <c r="AW5" s="132"/>
      <c r="AX5" s="78"/>
      <c r="AY5" s="78">
        <v>4836</v>
      </c>
    </row>
    <row r="6" spans="1:51" x14ac:dyDescent="0.25">
      <c r="A6" s="76">
        <v>5</v>
      </c>
      <c r="B6" s="76">
        <v>505</v>
      </c>
      <c r="C6" s="76" t="s">
        <v>211</v>
      </c>
      <c r="D6" s="77" t="s">
        <v>327</v>
      </c>
      <c r="E6" s="130">
        <v>14074</v>
      </c>
      <c r="F6" s="130">
        <v>14074</v>
      </c>
      <c r="G6" s="130">
        <v>7089.384</v>
      </c>
      <c r="H6" s="130">
        <v>3045</v>
      </c>
      <c r="I6" s="130">
        <v>3045</v>
      </c>
      <c r="J6" s="130">
        <v>1346.2539999999999</v>
      </c>
      <c r="K6" s="130">
        <v>1365</v>
      </c>
      <c r="L6" s="130">
        <v>1365</v>
      </c>
      <c r="M6" s="130">
        <v>500.77800000000002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>
        <v>50</v>
      </c>
      <c r="AD6" s="130">
        <v>50</v>
      </c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1">
        <f t="shared" si="0"/>
        <v>18534</v>
      </c>
      <c r="AP6" s="131">
        <f t="shared" ref="AP6:AQ63" si="1">F6+I6+L6+O6+R6+U6+X6+AA6+AD6+AG6+AJ6+AM6</f>
        <v>18534</v>
      </c>
      <c r="AQ6" s="131">
        <f t="shared" si="1"/>
        <v>8936.4159999999993</v>
      </c>
      <c r="AR6" s="325">
        <f t="shared" ref="AR6:AR64" si="2">AQ6/AP6</f>
        <v>0.48216337541815041</v>
      </c>
      <c r="AS6" s="132"/>
      <c r="AT6" s="132"/>
      <c r="AU6" s="132"/>
      <c r="AV6" s="132"/>
      <c r="AW6" s="132"/>
      <c r="AX6" s="78"/>
      <c r="AY6" s="78"/>
    </row>
    <row r="7" spans="1:51" x14ac:dyDescent="0.25">
      <c r="A7" s="76">
        <v>6</v>
      </c>
      <c r="B7" s="76">
        <v>506</v>
      </c>
      <c r="C7" s="76" t="s">
        <v>211</v>
      </c>
      <c r="D7" s="77" t="s">
        <v>466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>
        <v>19925</v>
      </c>
      <c r="AG7" s="130">
        <v>20320</v>
      </c>
      <c r="AH7" s="130">
        <v>20320</v>
      </c>
      <c r="AI7" s="130"/>
      <c r="AJ7" s="130"/>
      <c r="AK7" s="130"/>
      <c r="AL7" s="130"/>
      <c r="AM7" s="130"/>
      <c r="AN7" s="130"/>
      <c r="AO7" s="131">
        <f t="shared" si="0"/>
        <v>19925</v>
      </c>
      <c r="AP7" s="131">
        <f t="shared" si="1"/>
        <v>20320</v>
      </c>
      <c r="AQ7" s="131">
        <f t="shared" si="1"/>
        <v>20320</v>
      </c>
      <c r="AR7" s="325">
        <f t="shared" si="2"/>
        <v>1</v>
      </c>
      <c r="AS7" s="132"/>
      <c r="AT7" s="132"/>
      <c r="AU7" s="132"/>
      <c r="AV7" s="132"/>
      <c r="AW7" s="132"/>
      <c r="AX7" s="78"/>
      <c r="AY7" s="78"/>
    </row>
    <row r="8" spans="1:51" x14ac:dyDescent="0.25">
      <c r="A8" s="76">
        <v>7</v>
      </c>
      <c r="B8" s="76">
        <v>523</v>
      </c>
      <c r="C8" s="76" t="s">
        <v>211</v>
      </c>
      <c r="D8" s="77" t="s">
        <v>467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>
        <v>10526</v>
      </c>
      <c r="AD8" s="130">
        <v>10776</v>
      </c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1">
        <f t="shared" si="0"/>
        <v>10526</v>
      </c>
      <c r="AP8" s="131">
        <f t="shared" si="1"/>
        <v>10776</v>
      </c>
      <c r="AQ8" s="131">
        <f t="shared" si="1"/>
        <v>0</v>
      </c>
      <c r="AR8" s="325">
        <f t="shared" si="2"/>
        <v>0</v>
      </c>
      <c r="AS8" s="132"/>
      <c r="AT8" s="132"/>
      <c r="AU8" s="132"/>
      <c r="AV8" s="132"/>
      <c r="AW8" s="132"/>
      <c r="AX8" s="78"/>
      <c r="AY8" s="78"/>
    </row>
    <row r="9" spans="1:51" x14ac:dyDescent="0.25">
      <c r="A9" s="76">
        <v>8</v>
      </c>
      <c r="B9" s="76">
        <v>508</v>
      </c>
      <c r="C9" s="76" t="s">
        <v>211</v>
      </c>
      <c r="D9" s="77" t="s">
        <v>284</v>
      </c>
      <c r="E9" s="133"/>
      <c r="F9" s="133"/>
      <c r="G9" s="133"/>
      <c r="H9" s="133"/>
      <c r="I9" s="133"/>
      <c r="J9" s="133"/>
      <c r="K9" s="134">
        <v>30</v>
      </c>
      <c r="L9" s="134">
        <v>30</v>
      </c>
      <c r="M9" s="134">
        <v>10.420999999999999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>
        <v>500</v>
      </c>
      <c r="AG9" s="133">
        <v>1623.5360000000001</v>
      </c>
      <c r="AH9" s="133">
        <v>190.261</v>
      </c>
      <c r="AI9" s="133"/>
      <c r="AJ9" s="133"/>
      <c r="AK9" s="133"/>
      <c r="AL9" s="133"/>
      <c r="AM9" s="133"/>
      <c r="AN9" s="133"/>
      <c r="AO9" s="131">
        <f t="shared" ref="AO9:AO63" si="3">AL9+AI9+AF9+AC9+W9+Q9+N9+K9+H9+E9+T9</f>
        <v>530</v>
      </c>
      <c r="AP9" s="131">
        <f t="shared" si="1"/>
        <v>1653.5360000000001</v>
      </c>
      <c r="AQ9" s="131">
        <f t="shared" si="1"/>
        <v>200.68199999999999</v>
      </c>
      <c r="AR9" s="325">
        <f t="shared" si="2"/>
        <v>0.12136536489075532</v>
      </c>
      <c r="AS9" s="132"/>
      <c r="AT9" s="132"/>
      <c r="AU9" s="132"/>
      <c r="AV9" s="132"/>
      <c r="AW9" s="132"/>
      <c r="AX9" s="78"/>
      <c r="AY9" s="78">
        <v>176</v>
      </c>
    </row>
    <row r="10" spans="1:51" x14ac:dyDescent="0.25">
      <c r="A10" s="76">
        <v>9</v>
      </c>
      <c r="B10" s="76">
        <v>509</v>
      </c>
      <c r="C10" s="76" t="s">
        <v>211</v>
      </c>
      <c r="D10" s="77" t="s">
        <v>285</v>
      </c>
      <c r="E10" s="133"/>
      <c r="F10" s="133"/>
      <c r="G10" s="133"/>
      <c r="H10" s="133"/>
      <c r="I10" s="133"/>
      <c r="J10" s="133"/>
      <c r="K10" s="134">
        <v>526</v>
      </c>
      <c r="L10" s="134">
        <v>526</v>
      </c>
      <c r="M10" s="134">
        <v>342.95499999999998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5"/>
      <c r="AG10" s="135"/>
      <c r="AH10" s="135">
        <v>1123.5360000000001</v>
      </c>
      <c r="AI10" s="133"/>
      <c r="AJ10" s="133"/>
      <c r="AK10" s="133"/>
      <c r="AL10" s="133"/>
      <c r="AM10" s="133"/>
      <c r="AN10" s="133"/>
      <c r="AO10" s="131">
        <f t="shared" si="3"/>
        <v>526</v>
      </c>
      <c r="AP10" s="131">
        <f t="shared" si="1"/>
        <v>526</v>
      </c>
      <c r="AQ10" s="131">
        <f t="shared" si="1"/>
        <v>1466.491</v>
      </c>
      <c r="AR10" s="325">
        <f t="shared" si="2"/>
        <v>2.7880057034220531</v>
      </c>
      <c r="AS10" s="132"/>
      <c r="AT10" s="132"/>
      <c r="AU10" s="132"/>
      <c r="AV10" s="132"/>
      <c r="AW10" s="132"/>
      <c r="AX10" s="78"/>
      <c r="AY10" s="78">
        <v>10154</v>
      </c>
    </row>
    <row r="11" spans="1:51" x14ac:dyDescent="0.25">
      <c r="A11" s="76">
        <v>10</v>
      </c>
      <c r="B11" s="76">
        <v>514</v>
      </c>
      <c r="C11" s="76" t="s">
        <v>211</v>
      </c>
      <c r="D11" s="77" t="s">
        <v>286</v>
      </c>
      <c r="E11" s="133"/>
      <c r="F11" s="133"/>
      <c r="G11" s="133"/>
      <c r="H11" s="133"/>
      <c r="I11" s="133"/>
      <c r="J11" s="133"/>
      <c r="K11" s="134">
        <v>665</v>
      </c>
      <c r="L11" s="134">
        <v>997</v>
      </c>
      <c r="M11" s="134">
        <v>332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1">
        <f t="shared" si="3"/>
        <v>665</v>
      </c>
      <c r="AP11" s="131">
        <f t="shared" si="1"/>
        <v>997</v>
      </c>
      <c r="AQ11" s="131">
        <f t="shared" si="1"/>
        <v>332</v>
      </c>
      <c r="AR11" s="325">
        <f t="shared" si="2"/>
        <v>0.33299899699097291</v>
      </c>
      <c r="AS11" s="132"/>
      <c r="AT11" s="132"/>
      <c r="AU11" s="132"/>
      <c r="AV11" s="132"/>
      <c r="AW11" s="132"/>
      <c r="AX11" s="78"/>
      <c r="AY11" s="78">
        <v>512</v>
      </c>
    </row>
    <row r="12" spans="1:51" x14ac:dyDescent="0.25">
      <c r="A12" s="76">
        <v>11</v>
      </c>
      <c r="B12" s="76">
        <v>515</v>
      </c>
      <c r="C12" s="76" t="s">
        <v>211</v>
      </c>
      <c r="D12" s="77" t="s">
        <v>287</v>
      </c>
      <c r="E12" s="133"/>
      <c r="F12" s="133"/>
      <c r="G12" s="133"/>
      <c r="H12" s="133"/>
      <c r="I12" s="133"/>
      <c r="J12" s="133"/>
      <c r="K12" s="134">
        <v>9426</v>
      </c>
      <c r="L12" s="134">
        <v>9696.8140000000003</v>
      </c>
      <c r="M12" s="134">
        <v>4121.78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1">
        <f t="shared" si="3"/>
        <v>9426</v>
      </c>
      <c r="AP12" s="131">
        <f t="shared" si="1"/>
        <v>9696.8140000000003</v>
      </c>
      <c r="AQ12" s="131">
        <f t="shared" si="1"/>
        <v>4121.78</v>
      </c>
      <c r="AR12" s="325">
        <f t="shared" si="2"/>
        <v>0.42506538745612732</v>
      </c>
      <c r="AS12" s="132"/>
      <c r="AT12" s="132"/>
      <c r="AU12" s="132"/>
      <c r="AV12" s="132"/>
      <c r="AW12" s="132"/>
      <c r="AX12" s="78"/>
      <c r="AY12" s="78">
        <v>9765</v>
      </c>
    </row>
    <row r="13" spans="1:51" x14ac:dyDescent="0.25">
      <c r="A13" s="76">
        <v>12</v>
      </c>
      <c r="B13" s="76">
        <v>517</v>
      </c>
      <c r="C13" s="76" t="s">
        <v>211</v>
      </c>
      <c r="D13" s="77" t="s">
        <v>468</v>
      </c>
      <c r="E13" s="133"/>
      <c r="F13" s="133"/>
      <c r="G13" s="133"/>
      <c r="H13" s="133"/>
      <c r="I13" s="133"/>
      <c r="J13" s="133"/>
      <c r="K13" s="134"/>
      <c r="L13" s="134"/>
      <c r="M13" s="134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4"/>
      <c r="AD13" s="134"/>
      <c r="AE13" s="134"/>
      <c r="AF13" s="133"/>
      <c r="AG13" s="133"/>
      <c r="AH13" s="133"/>
      <c r="AI13" s="133">
        <v>3829</v>
      </c>
      <c r="AJ13" s="133">
        <v>4343.6189999999997</v>
      </c>
      <c r="AK13" s="133"/>
      <c r="AL13" s="133"/>
      <c r="AM13" s="133"/>
      <c r="AN13" s="133"/>
      <c r="AO13" s="131">
        <f t="shared" si="3"/>
        <v>3829</v>
      </c>
      <c r="AP13" s="131">
        <f t="shared" si="1"/>
        <v>4343.6189999999997</v>
      </c>
      <c r="AQ13" s="131">
        <f t="shared" si="1"/>
        <v>0</v>
      </c>
      <c r="AR13" s="325">
        <f t="shared" si="2"/>
        <v>0</v>
      </c>
      <c r="AS13" s="132"/>
      <c r="AT13" s="132"/>
      <c r="AU13" s="132"/>
      <c r="AV13" s="132"/>
      <c r="AW13" s="132"/>
      <c r="AX13" s="78"/>
      <c r="AY13" s="78"/>
    </row>
    <row r="14" spans="1:51" x14ac:dyDescent="0.25">
      <c r="A14" s="76">
        <v>13</v>
      </c>
      <c r="B14" s="76">
        <v>516</v>
      </c>
      <c r="C14" s="76" t="s">
        <v>217</v>
      </c>
      <c r="D14" s="77" t="s">
        <v>307</v>
      </c>
      <c r="E14" s="133"/>
      <c r="F14" s="133"/>
      <c r="G14" s="133"/>
      <c r="H14" s="133"/>
      <c r="I14" s="133"/>
      <c r="J14" s="133"/>
      <c r="K14" s="134"/>
      <c r="L14" s="134"/>
      <c r="M14" s="134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4">
        <v>1824</v>
      </c>
      <c r="AJ14" s="134">
        <v>5612.38</v>
      </c>
      <c r="AK14" s="134"/>
      <c r="AL14" s="133"/>
      <c r="AM14" s="133"/>
      <c r="AN14" s="133"/>
      <c r="AO14" s="131">
        <f t="shared" si="3"/>
        <v>1824</v>
      </c>
      <c r="AP14" s="131">
        <f t="shared" si="1"/>
        <v>5612.38</v>
      </c>
      <c r="AQ14" s="131">
        <f t="shared" si="1"/>
        <v>0</v>
      </c>
      <c r="AR14" s="325">
        <f t="shared" si="2"/>
        <v>0</v>
      </c>
      <c r="AS14" s="132"/>
      <c r="AT14" s="132"/>
      <c r="AU14" s="132"/>
      <c r="AV14" s="132"/>
      <c r="AW14" s="132"/>
      <c r="AX14" s="78"/>
      <c r="AY14" s="78"/>
    </row>
    <row r="15" spans="1:51" x14ac:dyDescent="0.25">
      <c r="A15" s="76">
        <v>14</v>
      </c>
      <c r="B15" s="76">
        <v>518</v>
      </c>
      <c r="C15" s="76" t="s">
        <v>217</v>
      </c>
      <c r="D15" s="77" t="s">
        <v>311</v>
      </c>
      <c r="E15" s="133"/>
      <c r="F15" s="133"/>
      <c r="G15" s="133"/>
      <c r="H15" s="133"/>
      <c r="I15" s="133"/>
      <c r="J15" s="133"/>
      <c r="K15" s="134"/>
      <c r="L15" s="134"/>
      <c r="M15" s="134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4">
        <v>10951.066999999999</v>
      </c>
      <c r="AJ15" s="134">
        <v>3503.73</v>
      </c>
      <c r="AK15" s="134"/>
      <c r="AL15" s="133"/>
      <c r="AM15" s="133"/>
      <c r="AN15" s="133"/>
      <c r="AO15" s="131">
        <f t="shared" si="3"/>
        <v>10951.066999999999</v>
      </c>
      <c r="AP15" s="131">
        <f t="shared" si="1"/>
        <v>3503.73</v>
      </c>
      <c r="AQ15" s="131">
        <f t="shared" si="1"/>
        <v>0</v>
      </c>
      <c r="AR15" s="325">
        <f t="shared" si="2"/>
        <v>0</v>
      </c>
      <c r="AS15" s="132"/>
      <c r="AT15" s="132"/>
      <c r="AU15" s="132"/>
      <c r="AV15" s="132"/>
      <c r="AW15" s="132"/>
      <c r="AX15" s="78"/>
      <c r="AY15" s="78"/>
    </row>
    <row r="16" spans="1:51" x14ac:dyDescent="0.25">
      <c r="A16" s="76">
        <v>15</v>
      </c>
      <c r="B16" s="76">
        <v>550</v>
      </c>
      <c r="C16" s="76" t="s">
        <v>217</v>
      </c>
      <c r="D16" s="77" t="s">
        <v>469</v>
      </c>
      <c r="E16" s="133"/>
      <c r="F16" s="133"/>
      <c r="G16" s="133"/>
      <c r="H16" s="133"/>
      <c r="I16" s="133"/>
      <c r="J16" s="133"/>
      <c r="K16" s="134"/>
      <c r="L16" s="134"/>
      <c r="M16" s="134"/>
      <c r="N16" s="134">
        <v>2000</v>
      </c>
      <c r="O16" s="134">
        <v>2000</v>
      </c>
      <c r="P16" s="513">
        <v>586.4</v>
      </c>
      <c r="Q16" s="134"/>
      <c r="R16" s="134"/>
      <c r="S16" s="134"/>
      <c r="T16" s="134"/>
      <c r="U16" s="134"/>
      <c r="V16" s="134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1">
        <f t="shared" si="3"/>
        <v>2000</v>
      </c>
      <c r="AP16" s="131">
        <f t="shared" si="1"/>
        <v>2000</v>
      </c>
      <c r="AQ16" s="131">
        <f t="shared" si="1"/>
        <v>586.4</v>
      </c>
      <c r="AR16" s="325">
        <f t="shared" si="2"/>
        <v>0.29320000000000002</v>
      </c>
      <c r="AS16" s="132"/>
      <c r="AT16" s="132"/>
      <c r="AU16" s="132"/>
      <c r="AV16" s="132"/>
      <c r="AW16" s="132"/>
      <c r="AX16" s="78"/>
      <c r="AY16" s="78">
        <v>1425</v>
      </c>
    </row>
    <row r="17" spans="1:51" x14ac:dyDescent="0.25">
      <c r="A17" s="76">
        <v>16</v>
      </c>
      <c r="B17" s="76">
        <v>524</v>
      </c>
      <c r="C17" s="76" t="s">
        <v>217</v>
      </c>
      <c r="D17" s="77" t="s">
        <v>339</v>
      </c>
      <c r="E17" s="133"/>
      <c r="F17" s="133"/>
      <c r="G17" s="133"/>
      <c r="H17" s="133"/>
      <c r="I17" s="133"/>
      <c r="J17" s="133"/>
      <c r="K17" s="134"/>
      <c r="L17" s="134"/>
      <c r="M17" s="134"/>
      <c r="N17" s="134">
        <v>150</v>
      </c>
      <c r="O17" s="134">
        <v>150</v>
      </c>
      <c r="P17" s="513">
        <v>122</v>
      </c>
      <c r="Q17" s="134"/>
      <c r="R17" s="134"/>
      <c r="S17" s="134"/>
      <c r="T17" s="134"/>
      <c r="U17" s="134"/>
      <c r="V17" s="134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1">
        <f t="shared" si="3"/>
        <v>150</v>
      </c>
      <c r="AP17" s="131">
        <f t="shared" si="1"/>
        <v>150</v>
      </c>
      <c r="AQ17" s="131">
        <f t="shared" si="1"/>
        <v>122</v>
      </c>
      <c r="AR17" s="325">
        <f t="shared" si="2"/>
        <v>0.81333333333333335</v>
      </c>
      <c r="AS17" s="132"/>
      <c r="AT17" s="132"/>
      <c r="AU17" s="132"/>
      <c r="AV17" s="132"/>
      <c r="AW17" s="132"/>
      <c r="AX17" s="78"/>
      <c r="AY17" s="78">
        <v>96</v>
      </c>
    </row>
    <row r="18" spans="1:51" x14ac:dyDescent="0.25">
      <c r="A18" s="76">
        <v>17</v>
      </c>
      <c r="B18" s="76">
        <v>521</v>
      </c>
      <c r="C18" s="76" t="s">
        <v>217</v>
      </c>
      <c r="D18" s="77" t="s">
        <v>337</v>
      </c>
      <c r="E18" s="133"/>
      <c r="F18" s="133"/>
      <c r="G18" s="133"/>
      <c r="H18" s="133"/>
      <c r="I18" s="133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>
        <v>520</v>
      </c>
      <c r="U18" s="134">
        <v>520</v>
      </c>
      <c r="V18" s="134">
        <v>220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1">
        <f t="shared" si="3"/>
        <v>520</v>
      </c>
      <c r="AP18" s="131">
        <f t="shared" si="1"/>
        <v>520</v>
      </c>
      <c r="AQ18" s="131">
        <f t="shared" si="1"/>
        <v>220</v>
      </c>
      <c r="AR18" s="325">
        <f t="shared" si="2"/>
        <v>0.42307692307692307</v>
      </c>
      <c r="AS18" s="132"/>
      <c r="AT18" s="132"/>
      <c r="AU18" s="132"/>
      <c r="AV18" s="132"/>
      <c r="AW18" s="132"/>
      <c r="AX18" s="78"/>
      <c r="AY18" s="78">
        <v>250</v>
      </c>
    </row>
    <row r="19" spans="1:51" x14ac:dyDescent="0.25">
      <c r="A19" s="76">
        <v>18</v>
      </c>
      <c r="B19" s="76">
        <v>522</v>
      </c>
      <c r="C19" s="76" t="s">
        <v>217</v>
      </c>
      <c r="D19" s="77" t="s">
        <v>288</v>
      </c>
      <c r="E19" s="133"/>
      <c r="F19" s="133"/>
      <c r="G19" s="133"/>
      <c r="H19" s="133"/>
      <c r="I19" s="133"/>
      <c r="J19" s="133"/>
      <c r="K19" s="134"/>
      <c r="L19" s="134"/>
      <c r="M19" s="134"/>
      <c r="N19" s="134">
        <v>100</v>
      </c>
      <c r="O19" s="134">
        <v>100</v>
      </c>
      <c r="P19" s="513">
        <v>35</v>
      </c>
      <c r="Q19" s="134"/>
      <c r="R19" s="134"/>
      <c r="S19" s="134"/>
      <c r="T19" s="134"/>
      <c r="U19" s="134"/>
      <c r="V19" s="134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1">
        <f t="shared" si="3"/>
        <v>100</v>
      </c>
      <c r="AP19" s="131">
        <f t="shared" si="1"/>
        <v>100</v>
      </c>
      <c r="AQ19" s="131">
        <f t="shared" si="1"/>
        <v>35</v>
      </c>
      <c r="AR19" s="325">
        <f t="shared" si="2"/>
        <v>0.35</v>
      </c>
      <c r="AS19" s="132"/>
      <c r="AT19" s="132"/>
      <c r="AU19" s="132"/>
      <c r="AV19" s="132"/>
      <c r="AW19" s="132"/>
      <c r="AX19" s="78"/>
      <c r="AY19" s="78">
        <v>80</v>
      </c>
    </row>
    <row r="20" spans="1:51" x14ac:dyDescent="0.25">
      <c r="A20" s="76">
        <v>19</v>
      </c>
      <c r="B20" s="76">
        <v>519</v>
      </c>
      <c r="C20" s="76" t="s">
        <v>211</v>
      </c>
      <c r="D20" s="77" t="s">
        <v>470</v>
      </c>
      <c r="E20" s="133"/>
      <c r="F20" s="133"/>
      <c r="G20" s="133"/>
      <c r="H20" s="133"/>
      <c r="I20" s="133"/>
      <c r="J20" s="133"/>
      <c r="K20" s="134"/>
      <c r="L20" s="134"/>
      <c r="M20" s="134"/>
      <c r="N20" s="134">
        <v>1000</v>
      </c>
      <c r="O20" s="134">
        <v>1707.78</v>
      </c>
      <c r="P20" s="513">
        <v>647.4</v>
      </c>
      <c r="Q20" s="134"/>
      <c r="R20" s="134"/>
      <c r="S20" s="134"/>
      <c r="T20" s="134"/>
      <c r="U20" s="134"/>
      <c r="V20" s="134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1">
        <f t="shared" si="3"/>
        <v>1000</v>
      </c>
      <c r="AP20" s="131">
        <f t="shared" si="1"/>
        <v>1707.78</v>
      </c>
      <c r="AQ20" s="131">
        <f t="shared" si="1"/>
        <v>647.4</v>
      </c>
      <c r="AR20" s="325">
        <f t="shared" si="2"/>
        <v>0.37908864139409054</v>
      </c>
      <c r="AS20" s="132"/>
      <c r="AT20" s="132"/>
      <c r="AU20" s="132"/>
      <c r="AV20" s="132"/>
      <c r="AW20" s="132"/>
      <c r="AX20" s="78"/>
      <c r="AY20" s="78">
        <v>146</v>
      </c>
    </row>
    <row r="21" spans="1:51" x14ac:dyDescent="0.25">
      <c r="A21" s="76">
        <v>20</v>
      </c>
      <c r="B21" s="76">
        <v>517</v>
      </c>
      <c r="C21" s="76" t="s">
        <v>211</v>
      </c>
      <c r="D21" s="77" t="s">
        <v>471</v>
      </c>
      <c r="E21" s="133"/>
      <c r="F21" s="133"/>
      <c r="G21" s="133"/>
      <c r="H21" s="133"/>
      <c r="I21" s="133"/>
      <c r="J21" s="133"/>
      <c r="K21" s="134"/>
      <c r="L21" s="134"/>
      <c r="M21" s="134"/>
      <c r="N21" s="134">
        <v>300</v>
      </c>
      <c r="O21" s="134">
        <v>300</v>
      </c>
      <c r="P21" s="513">
        <v>35</v>
      </c>
      <c r="Q21" s="134"/>
      <c r="R21" s="134"/>
      <c r="S21" s="134"/>
      <c r="T21" s="134"/>
      <c r="U21" s="134"/>
      <c r="V21" s="134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1">
        <f t="shared" si="3"/>
        <v>300</v>
      </c>
      <c r="AP21" s="131">
        <f t="shared" si="1"/>
        <v>300</v>
      </c>
      <c r="AQ21" s="131">
        <f t="shared" si="1"/>
        <v>35</v>
      </c>
      <c r="AR21" s="325">
        <f t="shared" si="2"/>
        <v>0.11666666666666667</v>
      </c>
      <c r="AS21" s="132"/>
      <c r="AT21" s="132"/>
      <c r="AU21" s="132"/>
      <c r="AV21" s="132"/>
      <c r="AW21" s="132"/>
      <c r="AX21" s="78"/>
      <c r="AY21" s="78">
        <v>132</v>
      </c>
    </row>
    <row r="22" spans="1:51" x14ac:dyDescent="0.25">
      <c r="A22" s="76">
        <v>21</v>
      </c>
      <c r="B22" s="76">
        <v>550</v>
      </c>
      <c r="C22" s="76" t="s">
        <v>211</v>
      </c>
      <c r="D22" s="77" t="s">
        <v>472</v>
      </c>
      <c r="E22" s="133"/>
      <c r="F22" s="133"/>
      <c r="G22" s="133"/>
      <c r="H22" s="133"/>
      <c r="I22" s="133"/>
      <c r="J22" s="133"/>
      <c r="K22" s="134"/>
      <c r="L22" s="134"/>
      <c r="M22" s="134"/>
      <c r="N22" s="134">
        <v>300</v>
      </c>
      <c r="O22" s="134">
        <v>300</v>
      </c>
      <c r="P22" s="513">
        <v>40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57"/>
      <c r="AG22" s="157"/>
      <c r="AH22" s="157"/>
      <c r="AI22" s="131"/>
      <c r="AJ22" s="131"/>
      <c r="AK22" s="131"/>
      <c r="AL22" s="136"/>
      <c r="AM22" s="136"/>
      <c r="AN22" s="136"/>
      <c r="AO22" s="131">
        <f>AL22+AI22+AF22+AC22+W22+Q22+N22+K22+H22+E22+T22</f>
        <v>300</v>
      </c>
      <c r="AP22" s="131">
        <f t="shared" si="1"/>
        <v>300</v>
      </c>
      <c r="AQ22" s="131">
        <f t="shared" si="1"/>
        <v>40</v>
      </c>
      <c r="AR22" s="325">
        <f t="shared" si="2"/>
        <v>0.13333333333333333</v>
      </c>
      <c r="AS22" s="136"/>
      <c r="AT22" s="136"/>
      <c r="AU22" s="136"/>
      <c r="AV22" s="136"/>
      <c r="AW22" s="136"/>
      <c r="AX22" s="103"/>
      <c r="AY22" s="158">
        <v>10579</v>
      </c>
    </row>
    <row r="23" spans="1:51" x14ac:dyDescent="0.25">
      <c r="A23" s="76">
        <v>22</v>
      </c>
      <c r="B23" s="76">
        <v>525</v>
      </c>
      <c r="C23" s="76" t="s">
        <v>211</v>
      </c>
      <c r="D23" s="77" t="s">
        <v>289</v>
      </c>
      <c r="E23" s="133"/>
      <c r="F23" s="133"/>
      <c r="G23" s="133"/>
      <c r="H23" s="133"/>
      <c r="I23" s="133"/>
      <c r="J23" s="133"/>
      <c r="K23" s="134"/>
      <c r="L23" s="134"/>
      <c r="M23" s="134"/>
      <c r="N23" s="134">
        <v>400</v>
      </c>
      <c r="O23" s="134">
        <v>400</v>
      </c>
      <c r="P23" s="51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57"/>
      <c r="AG23" s="157"/>
      <c r="AH23" s="157"/>
      <c r="AI23" s="131"/>
      <c r="AJ23" s="131"/>
      <c r="AK23" s="131"/>
      <c r="AL23" s="136"/>
      <c r="AM23" s="136"/>
      <c r="AN23" s="136"/>
      <c r="AO23" s="131">
        <f>AL23+AI23+AF23+AC23+W23+Q23+N23+K23+H23+E23+T23</f>
        <v>400</v>
      </c>
      <c r="AP23" s="131">
        <f t="shared" si="1"/>
        <v>400</v>
      </c>
      <c r="AQ23" s="131">
        <f t="shared" si="1"/>
        <v>0</v>
      </c>
      <c r="AR23" s="325"/>
      <c r="AS23" s="136"/>
      <c r="AT23" s="136"/>
      <c r="AU23" s="136"/>
      <c r="AV23" s="136"/>
      <c r="AW23" s="136"/>
      <c r="AX23" s="103"/>
      <c r="AY23" s="158"/>
    </row>
    <row r="24" spans="1:51" x14ac:dyDescent="0.25">
      <c r="A24" s="76">
        <v>23</v>
      </c>
      <c r="B24" s="76">
        <v>520</v>
      </c>
      <c r="C24" s="76" t="s">
        <v>217</v>
      </c>
      <c r="D24" s="77" t="s">
        <v>473</v>
      </c>
      <c r="E24" s="133"/>
      <c r="F24" s="133"/>
      <c r="G24" s="133"/>
      <c r="H24" s="133"/>
      <c r="I24" s="133"/>
      <c r="J24" s="133"/>
      <c r="K24" s="134"/>
      <c r="L24" s="134"/>
      <c r="M24" s="134"/>
      <c r="N24" s="134">
        <v>150</v>
      </c>
      <c r="O24" s="134">
        <v>150</v>
      </c>
      <c r="P24" s="513">
        <v>80.41</v>
      </c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57"/>
      <c r="AG24" s="157"/>
      <c r="AH24" s="157"/>
      <c r="AI24" s="131"/>
      <c r="AJ24" s="131"/>
      <c r="AK24" s="131"/>
      <c r="AL24" s="136"/>
      <c r="AM24" s="136"/>
      <c r="AN24" s="136"/>
      <c r="AO24" s="131">
        <f>AL24+AI24+AF24+AC24+W24+Q24+N24+K24+H24+E24+T24</f>
        <v>150</v>
      </c>
      <c r="AP24" s="131">
        <f t="shared" si="1"/>
        <v>150</v>
      </c>
      <c r="AQ24" s="131">
        <f t="shared" si="1"/>
        <v>80.41</v>
      </c>
      <c r="AR24" s="325"/>
      <c r="AS24" s="136"/>
      <c r="AT24" s="136"/>
      <c r="AU24" s="136"/>
      <c r="AV24" s="136"/>
      <c r="AW24" s="136"/>
      <c r="AX24" s="103"/>
      <c r="AY24" s="158"/>
    </row>
    <row r="25" spans="1:51" x14ac:dyDescent="0.25">
      <c r="A25" s="76">
        <v>24</v>
      </c>
      <c r="B25" s="76">
        <v>537</v>
      </c>
      <c r="C25" s="76" t="s">
        <v>217</v>
      </c>
      <c r="D25" s="77" t="s">
        <v>474</v>
      </c>
      <c r="E25" s="133"/>
      <c r="F25" s="133"/>
      <c r="G25" s="133"/>
      <c r="H25" s="133"/>
      <c r="I25" s="133"/>
      <c r="J25" s="133"/>
      <c r="K25" s="134"/>
      <c r="L25" s="134"/>
      <c r="M25" s="134"/>
      <c r="N25" s="134">
        <v>1000</v>
      </c>
      <c r="O25" s="134">
        <v>1000</v>
      </c>
      <c r="P25" s="51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57"/>
      <c r="AG25" s="157"/>
      <c r="AH25" s="157"/>
      <c r="AI25" s="131"/>
      <c r="AJ25" s="131"/>
      <c r="AK25" s="131"/>
      <c r="AL25" s="136"/>
      <c r="AM25" s="136"/>
      <c r="AN25" s="136"/>
      <c r="AO25" s="131">
        <f>AL25+AI25+AF25+AC25+W25+Q25+N25+K25+H25+E25+T25</f>
        <v>1000</v>
      </c>
      <c r="AP25" s="131">
        <f t="shared" si="1"/>
        <v>1000</v>
      </c>
      <c r="AQ25" s="131">
        <f t="shared" si="1"/>
        <v>0</v>
      </c>
      <c r="AR25" s="325"/>
      <c r="AS25" s="136"/>
      <c r="AT25" s="136"/>
      <c r="AU25" s="136"/>
      <c r="AV25" s="136"/>
      <c r="AW25" s="136"/>
      <c r="AX25" s="103"/>
      <c r="AY25" s="158"/>
    </row>
    <row r="26" spans="1:51" x14ac:dyDescent="0.25">
      <c r="A26" s="76">
        <v>25</v>
      </c>
      <c r="B26" s="76">
        <v>526</v>
      </c>
      <c r="C26" s="76" t="s">
        <v>217</v>
      </c>
      <c r="D26" s="77" t="s">
        <v>290</v>
      </c>
      <c r="E26" s="133"/>
      <c r="F26" s="133"/>
      <c r="G26" s="133"/>
      <c r="H26" s="133"/>
      <c r="I26" s="133"/>
      <c r="J26" s="133"/>
      <c r="K26" s="134"/>
      <c r="L26" s="134">
        <v>150</v>
      </c>
      <c r="M26" s="134">
        <v>150</v>
      </c>
      <c r="N26" s="133"/>
      <c r="O26" s="133"/>
      <c r="P26" s="133"/>
      <c r="Q26" s="133">
        <v>4000</v>
      </c>
      <c r="R26" s="133">
        <v>4010</v>
      </c>
      <c r="S26" s="133">
        <v>2610</v>
      </c>
      <c r="T26" s="133"/>
      <c r="U26" s="133"/>
      <c r="V26" s="133"/>
      <c r="W26" s="134"/>
      <c r="X26" s="134"/>
      <c r="Y26" s="134"/>
      <c r="Z26" s="134"/>
      <c r="AA26" s="134"/>
      <c r="AB26" s="134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1">
        <f t="shared" si="3"/>
        <v>4000</v>
      </c>
      <c r="AP26" s="131">
        <f t="shared" si="1"/>
        <v>4160</v>
      </c>
      <c r="AQ26" s="131">
        <f t="shared" si="1"/>
        <v>2760</v>
      </c>
      <c r="AR26" s="325">
        <f t="shared" si="2"/>
        <v>0.66346153846153844</v>
      </c>
      <c r="AS26" s="132"/>
      <c r="AT26" s="132"/>
      <c r="AU26" s="132"/>
      <c r="AV26" s="132"/>
      <c r="AW26" s="132"/>
      <c r="AX26" s="78"/>
      <c r="AY26" s="78">
        <v>2140</v>
      </c>
    </row>
    <row r="27" spans="1:51" x14ac:dyDescent="0.25">
      <c r="A27" s="76">
        <v>26</v>
      </c>
      <c r="B27" s="76">
        <v>527</v>
      </c>
      <c r="C27" s="76" t="s">
        <v>211</v>
      </c>
      <c r="D27" s="77" t="s">
        <v>475</v>
      </c>
      <c r="E27" s="137">
        <v>19138</v>
      </c>
      <c r="F27" s="137">
        <v>19138</v>
      </c>
      <c r="G27" s="137">
        <v>9259.7219999999998</v>
      </c>
      <c r="H27" s="137">
        <v>1910</v>
      </c>
      <c r="I27" s="137">
        <v>1910</v>
      </c>
      <c r="J27" s="137">
        <v>928.29600000000005</v>
      </c>
      <c r="K27" s="135"/>
      <c r="L27" s="135"/>
      <c r="M27" s="135"/>
      <c r="N27" s="137"/>
      <c r="O27" s="137"/>
      <c r="P27" s="137"/>
      <c r="Q27" s="137"/>
      <c r="R27" s="137"/>
      <c r="S27" s="137"/>
      <c r="T27" s="137"/>
      <c r="U27" s="137"/>
      <c r="V27" s="137"/>
      <c r="W27" s="135"/>
      <c r="X27" s="135"/>
      <c r="Y27" s="135"/>
      <c r="Z27" s="135"/>
      <c r="AA27" s="135"/>
      <c r="AB27" s="135"/>
      <c r="AC27" s="137"/>
      <c r="AD27" s="137"/>
      <c r="AE27" s="137"/>
      <c r="AF27" s="133"/>
      <c r="AG27" s="133"/>
      <c r="AH27" s="133"/>
      <c r="AI27" s="133"/>
      <c r="AJ27" s="133"/>
      <c r="AK27" s="133"/>
      <c r="AL27" s="133"/>
      <c r="AM27" s="133"/>
      <c r="AN27" s="133"/>
      <c r="AO27" s="131">
        <f t="shared" si="3"/>
        <v>21048</v>
      </c>
      <c r="AP27" s="131">
        <f t="shared" si="1"/>
        <v>21048</v>
      </c>
      <c r="AQ27" s="131">
        <f t="shared" si="1"/>
        <v>10188.018</v>
      </c>
      <c r="AR27" s="325">
        <f t="shared" si="2"/>
        <v>0.4840373432155074</v>
      </c>
      <c r="AS27" s="132"/>
      <c r="AT27" s="132"/>
      <c r="AU27" s="132"/>
      <c r="AV27" s="132"/>
      <c r="AW27" s="132"/>
      <c r="AX27" s="78">
        <v>8595</v>
      </c>
      <c r="AY27" s="78">
        <v>9949</v>
      </c>
    </row>
    <row r="28" spans="1:51" x14ac:dyDescent="0.25">
      <c r="A28" s="76">
        <v>27</v>
      </c>
      <c r="B28" s="76">
        <v>528</v>
      </c>
      <c r="C28" s="76" t="s">
        <v>211</v>
      </c>
      <c r="D28" s="77" t="s">
        <v>291</v>
      </c>
      <c r="E28" s="135">
        <v>67125</v>
      </c>
      <c r="F28" s="135">
        <v>67125</v>
      </c>
      <c r="G28" s="135">
        <v>34109.455999999998</v>
      </c>
      <c r="H28" s="135">
        <v>7128</v>
      </c>
      <c r="I28" s="135">
        <v>7128</v>
      </c>
      <c r="J28" s="135">
        <v>3685.4409999999998</v>
      </c>
      <c r="K28" s="135">
        <v>14669</v>
      </c>
      <c r="L28" s="135">
        <v>14669</v>
      </c>
      <c r="M28" s="135">
        <v>5753.1409999999996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5"/>
      <c r="X28" s="135"/>
      <c r="Y28" s="135"/>
      <c r="Z28" s="135"/>
      <c r="AA28" s="135"/>
      <c r="AB28" s="135"/>
      <c r="AC28" s="137">
        <v>2383</v>
      </c>
      <c r="AD28" s="137">
        <v>2383</v>
      </c>
      <c r="AE28" s="137">
        <v>1094.2529999999999</v>
      </c>
      <c r="AF28" s="133"/>
      <c r="AG28" s="133"/>
      <c r="AH28" s="133"/>
      <c r="AI28" s="133"/>
      <c r="AJ28" s="133"/>
      <c r="AK28" s="133"/>
      <c r="AL28" s="133"/>
      <c r="AM28" s="133"/>
      <c r="AN28" s="133"/>
      <c r="AO28" s="131">
        <f t="shared" si="3"/>
        <v>91305</v>
      </c>
      <c r="AP28" s="131">
        <f t="shared" si="1"/>
        <v>91305</v>
      </c>
      <c r="AQ28" s="131">
        <f t="shared" si="1"/>
        <v>44642.290999999997</v>
      </c>
      <c r="AR28" s="325">
        <f t="shared" si="2"/>
        <v>0.48893588521986747</v>
      </c>
      <c r="AS28" s="132"/>
      <c r="AT28" s="132"/>
      <c r="AU28" s="132"/>
      <c r="AV28" s="132"/>
      <c r="AW28" s="132"/>
      <c r="AX28" s="78">
        <v>120201</v>
      </c>
      <c r="AY28" s="78">
        <v>69860</v>
      </c>
    </row>
    <row r="29" spans="1:51" x14ac:dyDescent="0.25">
      <c r="A29" s="76">
        <v>28</v>
      </c>
      <c r="B29" s="76">
        <v>529</v>
      </c>
      <c r="C29" s="76" t="s">
        <v>211</v>
      </c>
      <c r="D29" s="77" t="s">
        <v>336</v>
      </c>
      <c r="E29" s="137"/>
      <c r="F29" s="137"/>
      <c r="G29" s="137"/>
      <c r="H29" s="137"/>
      <c r="I29" s="137"/>
      <c r="J29" s="137"/>
      <c r="K29" s="135">
        <v>100</v>
      </c>
      <c r="L29" s="135">
        <v>100</v>
      </c>
      <c r="M29" s="135"/>
      <c r="N29" s="137"/>
      <c r="O29" s="137"/>
      <c r="P29" s="137"/>
      <c r="Q29" s="137"/>
      <c r="R29" s="137"/>
      <c r="S29" s="137"/>
      <c r="T29" s="137">
        <v>3000</v>
      </c>
      <c r="U29" s="137">
        <v>3000</v>
      </c>
      <c r="V29" s="514">
        <v>2617.3420000000001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3"/>
      <c r="AG29" s="133"/>
      <c r="AH29" s="133"/>
      <c r="AI29" s="133"/>
      <c r="AJ29" s="133"/>
      <c r="AK29" s="133"/>
      <c r="AL29" s="133">
        <v>10927.733</v>
      </c>
      <c r="AM29" s="133">
        <v>10927.733</v>
      </c>
      <c r="AN29" s="133">
        <v>10927.733</v>
      </c>
      <c r="AO29" s="131">
        <f t="shared" si="3"/>
        <v>14027.733</v>
      </c>
      <c r="AP29" s="131">
        <f t="shared" si="1"/>
        <v>14027.733</v>
      </c>
      <c r="AQ29" s="131">
        <f t="shared" si="1"/>
        <v>13545.075000000001</v>
      </c>
      <c r="AR29" s="325">
        <f t="shared" si="2"/>
        <v>0.96559258719851604</v>
      </c>
      <c r="AS29" s="132"/>
      <c r="AT29" s="132"/>
      <c r="AU29" s="132"/>
      <c r="AV29" s="132"/>
      <c r="AW29" s="132"/>
      <c r="AX29" s="78"/>
      <c r="AY29" s="78"/>
    </row>
    <row r="30" spans="1:51" x14ac:dyDescent="0.25">
      <c r="A30" s="76">
        <v>29</v>
      </c>
      <c r="B30" s="76">
        <v>535</v>
      </c>
      <c r="C30" s="76" t="s">
        <v>211</v>
      </c>
      <c r="D30" s="77" t="s">
        <v>292</v>
      </c>
      <c r="E30" s="137">
        <v>1600</v>
      </c>
      <c r="F30" s="137">
        <v>1600</v>
      </c>
      <c r="G30" s="137">
        <v>1172.886</v>
      </c>
      <c r="H30" s="137">
        <v>312</v>
      </c>
      <c r="I30" s="137">
        <v>312</v>
      </c>
      <c r="J30" s="137">
        <v>241.411</v>
      </c>
      <c r="K30" s="135">
        <v>16672</v>
      </c>
      <c r="L30" s="135">
        <v>16847.259999999998</v>
      </c>
      <c r="M30" s="135">
        <f>10628.978+0.012</f>
        <v>10628.99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>
        <v>165.70599999999999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1">
        <f t="shared" si="3"/>
        <v>18584</v>
      </c>
      <c r="AP30" s="131">
        <f t="shared" si="1"/>
        <v>18759.259999999998</v>
      </c>
      <c r="AQ30" s="131">
        <f t="shared" si="1"/>
        <v>12208.993</v>
      </c>
      <c r="AR30" s="325">
        <f t="shared" si="2"/>
        <v>0.65082487262290734</v>
      </c>
      <c r="AS30" s="132"/>
      <c r="AT30" s="132"/>
      <c r="AU30" s="132"/>
      <c r="AV30" s="132"/>
      <c r="AW30" s="132"/>
      <c r="AX30" s="78"/>
      <c r="AY30" s="78">
        <v>29133</v>
      </c>
    </row>
    <row r="31" spans="1:51" x14ac:dyDescent="0.25">
      <c r="A31" s="76">
        <v>30</v>
      </c>
      <c r="B31" s="76">
        <v>536</v>
      </c>
      <c r="C31" s="76" t="s">
        <v>211</v>
      </c>
      <c r="D31" s="77" t="s">
        <v>476</v>
      </c>
      <c r="E31" s="137"/>
      <c r="F31" s="137"/>
      <c r="G31" s="137"/>
      <c r="H31" s="137"/>
      <c r="I31" s="137"/>
      <c r="J31" s="137"/>
      <c r="K31" s="135"/>
      <c r="L31" s="135"/>
      <c r="M31" s="135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3">
        <v>2218</v>
      </c>
      <c r="AG31" s="133">
        <v>2218</v>
      </c>
      <c r="AH31" s="133">
        <v>1211.58</v>
      </c>
      <c r="AI31" s="133"/>
      <c r="AJ31" s="133"/>
      <c r="AK31" s="133"/>
      <c r="AL31" s="133"/>
      <c r="AM31" s="133"/>
      <c r="AN31" s="133"/>
      <c r="AO31" s="131">
        <f t="shared" si="3"/>
        <v>2218</v>
      </c>
      <c r="AP31" s="131">
        <f t="shared" si="1"/>
        <v>2218</v>
      </c>
      <c r="AQ31" s="131">
        <f t="shared" si="1"/>
        <v>1211.58</v>
      </c>
      <c r="AR31" s="325">
        <f t="shared" si="2"/>
        <v>0.54624887285843093</v>
      </c>
      <c r="AS31" s="132"/>
      <c r="AT31" s="132"/>
      <c r="AU31" s="132"/>
      <c r="AV31" s="132"/>
      <c r="AW31" s="132"/>
      <c r="AX31" s="78"/>
      <c r="AY31" s="78"/>
    </row>
    <row r="32" spans="1:51" x14ac:dyDescent="0.25">
      <c r="A32" s="76">
        <v>31</v>
      </c>
      <c r="B32" s="76">
        <v>538</v>
      </c>
      <c r="C32" s="76" t="s">
        <v>211</v>
      </c>
      <c r="D32" s="77" t="s">
        <v>293</v>
      </c>
      <c r="E32" s="137"/>
      <c r="F32" s="137"/>
      <c r="G32" s="137"/>
      <c r="H32" s="137"/>
      <c r="I32" s="137"/>
      <c r="J32" s="137"/>
      <c r="K32" s="135">
        <v>1440</v>
      </c>
      <c r="L32" s="135">
        <v>1500</v>
      </c>
      <c r="M32" s="135">
        <v>660</v>
      </c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>
        <v>500</v>
      </c>
      <c r="AD32" s="137">
        <v>500</v>
      </c>
      <c r="AE32" s="137">
        <v>453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1">
        <f t="shared" si="3"/>
        <v>1940</v>
      </c>
      <c r="AP32" s="131">
        <f t="shared" si="1"/>
        <v>2000</v>
      </c>
      <c r="AQ32" s="131">
        <f t="shared" si="1"/>
        <v>1113</v>
      </c>
      <c r="AR32" s="325">
        <f t="shared" si="2"/>
        <v>0.55649999999999999</v>
      </c>
      <c r="AS32" s="132"/>
      <c r="AT32" s="132"/>
      <c r="AU32" s="132"/>
      <c r="AV32" s="132"/>
      <c r="AW32" s="132"/>
      <c r="AX32" s="78"/>
      <c r="AY32" s="78"/>
    </row>
    <row r="33" spans="1:52" x14ac:dyDescent="0.25">
      <c r="A33" s="76">
        <v>32</v>
      </c>
      <c r="B33" s="76">
        <v>539</v>
      </c>
      <c r="C33" s="76" t="s">
        <v>211</v>
      </c>
      <c r="D33" s="77" t="s">
        <v>312</v>
      </c>
      <c r="E33" s="137"/>
      <c r="F33" s="137"/>
      <c r="G33" s="137"/>
      <c r="H33" s="137"/>
      <c r="I33" s="137"/>
      <c r="J33" s="137"/>
      <c r="K33" s="135">
        <v>147</v>
      </c>
      <c r="L33" s="135">
        <v>147</v>
      </c>
      <c r="M33" s="135">
        <v>0.93200000000000005</v>
      </c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3"/>
      <c r="AG33" s="133"/>
      <c r="AH33" s="133"/>
      <c r="AI33" s="133"/>
      <c r="AJ33" s="133"/>
      <c r="AK33" s="133"/>
      <c r="AL33" s="133"/>
      <c r="AM33" s="133"/>
      <c r="AN33" s="133"/>
      <c r="AO33" s="131">
        <f t="shared" si="3"/>
        <v>147</v>
      </c>
      <c r="AP33" s="131">
        <f t="shared" si="1"/>
        <v>147</v>
      </c>
      <c r="AQ33" s="131">
        <f t="shared" si="1"/>
        <v>0.93200000000000005</v>
      </c>
      <c r="AR33" s="325">
        <f t="shared" si="2"/>
        <v>6.3401360544217689E-3</v>
      </c>
      <c r="AS33" s="132"/>
      <c r="AT33" s="132"/>
      <c r="AU33" s="132"/>
      <c r="AV33" s="132"/>
      <c r="AW33" s="132"/>
      <c r="AX33" s="78"/>
      <c r="AY33" s="78">
        <v>3</v>
      </c>
    </row>
    <row r="34" spans="1:52" x14ac:dyDescent="0.25">
      <c r="A34" s="76">
        <v>33</v>
      </c>
      <c r="B34" s="76">
        <v>541</v>
      </c>
      <c r="C34" s="76" t="s">
        <v>217</v>
      </c>
      <c r="D34" s="77" t="s">
        <v>294</v>
      </c>
      <c r="E34" s="137">
        <v>275</v>
      </c>
      <c r="F34" s="137">
        <v>275</v>
      </c>
      <c r="G34" s="137"/>
      <c r="H34" s="137">
        <v>49</v>
      </c>
      <c r="I34" s="137">
        <v>49</v>
      </c>
      <c r="J34" s="137"/>
      <c r="K34" s="135">
        <v>60</v>
      </c>
      <c r="L34" s="135">
        <v>60</v>
      </c>
      <c r="M34" s="135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3"/>
      <c r="AG34" s="133"/>
      <c r="AH34" s="133"/>
      <c r="AI34" s="133"/>
      <c r="AJ34" s="133"/>
      <c r="AK34" s="133"/>
      <c r="AL34" s="133"/>
      <c r="AM34" s="133"/>
      <c r="AN34" s="133"/>
      <c r="AO34" s="131">
        <f t="shared" si="3"/>
        <v>384</v>
      </c>
      <c r="AP34" s="131">
        <f t="shared" si="1"/>
        <v>384</v>
      </c>
      <c r="AQ34" s="131">
        <f t="shared" si="1"/>
        <v>0</v>
      </c>
      <c r="AR34" s="325">
        <f t="shared" si="2"/>
        <v>0</v>
      </c>
      <c r="AS34" s="132"/>
      <c r="AT34" s="132"/>
      <c r="AU34" s="132"/>
      <c r="AV34" s="132"/>
      <c r="AW34" s="132"/>
      <c r="AX34" s="78"/>
      <c r="AY34" s="78">
        <v>66</v>
      </c>
    </row>
    <row r="35" spans="1:52" x14ac:dyDescent="0.25">
      <c r="A35" s="76">
        <v>34</v>
      </c>
      <c r="B35" s="76">
        <v>542</v>
      </c>
      <c r="C35" s="76" t="s">
        <v>211</v>
      </c>
      <c r="D35" s="77" t="s">
        <v>328</v>
      </c>
      <c r="E35" s="137"/>
      <c r="F35" s="137"/>
      <c r="G35" s="137"/>
      <c r="H35" s="137"/>
      <c r="I35" s="137"/>
      <c r="J35" s="137"/>
      <c r="K35" s="135"/>
      <c r="L35" s="135"/>
      <c r="M35" s="135"/>
      <c r="N35" s="137"/>
      <c r="O35" s="137"/>
      <c r="P35" s="137"/>
      <c r="Q35" s="137">
        <v>17445</v>
      </c>
      <c r="R35" s="137">
        <v>19965</v>
      </c>
      <c r="S35" s="137">
        <v>11334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3"/>
      <c r="AG35" s="133"/>
      <c r="AH35" s="133"/>
      <c r="AI35" s="133"/>
      <c r="AJ35" s="133"/>
      <c r="AK35" s="133"/>
      <c r="AL35" s="133"/>
      <c r="AM35" s="133"/>
      <c r="AN35" s="133"/>
      <c r="AO35" s="131">
        <f t="shared" si="3"/>
        <v>17445</v>
      </c>
      <c r="AP35" s="131">
        <f t="shared" si="1"/>
        <v>19965</v>
      </c>
      <c r="AQ35" s="131">
        <f t="shared" si="1"/>
        <v>11334</v>
      </c>
      <c r="AR35" s="325">
        <f t="shared" si="2"/>
        <v>0.56769346356123218</v>
      </c>
      <c r="AS35" s="132"/>
      <c r="AT35" s="132"/>
      <c r="AU35" s="132"/>
      <c r="AV35" s="132"/>
      <c r="AW35" s="132"/>
      <c r="AX35" s="78"/>
      <c r="AY35" s="78">
        <v>12020</v>
      </c>
      <c r="AZ35" s="79">
        <f>SUM(AZ21:AZ34)</f>
        <v>0</v>
      </c>
    </row>
    <row r="36" spans="1:52" x14ac:dyDescent="0.25">
      <c r="A36" s="76">
        <v>35</v>
      </c>
      <c r="B36" s="76">
        <v>543</v>
      </c>
      <c r="C36" s="76" t="s">
        <v>211</v>
      </c>
      <c r="D36" s="77" t="s">
        <v>295</v>
      </c>
      <c r="E36" s="137"/>
      <c r="F36" s="137"/>
      <c r="G36" s="137"/>
      <c r="H36" s="137"/>
      <c r="I36" s="137"/>
      <c r="J36" s="137"/>
      <c r="K36" s="135">
        <v>12394</v>
      </c>
      <c r="L36" s="135">
        <v>12394</v>
      </c>
      <c r="M36" s="135">
        <v>3699.8719999999998</v>
      </c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3"/>
      <c r="AG36" s="133"/>
      <c r="AH36" s="133"/>
      <c r="AI36" s="133"/>
      <c r="AJ36" s="133"/>
      <c r="AK36" s="133"/>
      <c r="AL36" s="133"/>
      <c r="AM36" s="133"/>
      <c r="AN36" s="133"/>
      <c r="AO36" s="131">
        <f t="shared" si="3"/>
        <v>12394</v>
      </c>
      <c r="AP36" s="131">
        <f t="shared" si="1"/>
        <v>12394</v>
      </c>
      <c r="AQ36" s="131">
        <f t="shared" si="1"/>
        <v>3699.8719999999998</v>
      </c>
      <c r="AR36" s="325">
        <f t="shared" si="2"/>
        <v>0.29852121994513475</v>
      </c>
      <c r="AS36" s="132"/>
      <c r="AT36" s="132"/>
      <c r="AU36" s="132"/>
      <c r="AV36" s="132"/>
      <c r="AW36" s="132"/>
      <c r="AX36" s="78"/>
      <c r="AY36" s="78">
        <v>13436</v>
      </c>
    </row>
    <row r="37" spans="1:52" x14ac:dyDescent="0.25">
      <c r="A37" s="76">
        <v>36</v>
      </c>
      <c r="B37" s="76">
        <v>544</v>
      </c>
      <c r="C37" s="76" t="s">
        <v>211</v>
      </c>
      <c r="D37" s="77" t="s">
        <v>296</v>
      </c>
      <c r="E37" s="137"/>
      <c r="F37" s="137"/>
      <c r="G37" s="137"/>
      <c r="H37" s="137"/>
      <c r="I37" s="137"/>
      <c r="J37" s="137"/>
      <c r="K37" s="135">
        <v>32263</v>
      </c>
      <c r="L37" s="135">
        <v>32269.585999999999</v>
      </c>
      <c r="M37" s="135">
        <v>12941.749</v>
      </c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3"/>
      <c r="AG37" s="133"/>
      <c r="AH37" s="133"/>
      <c r="AI37" s="133"/>
      <c r="AJ37" s="133"/>
      <c r="AK37" s="133"/>
      <c r="AL37" s="133"/>
      <c r="AM37" s="133"/>
      <c r="AN37" s="133"/>
      <c r="AO37" s="131">
        <f t="shared" si="3"/>
        <v>32263</v>
      </c>
      <c r="AP37" s="131">
        <f t="shared" si="1"/>
        <v>32269.585999999999</v>
      </c>
      <c r="AQ37" s="131">
        <f t="shared" si="1"/>
        <v>12941.749</v>
      </c>
      <c r="AR37" s="325">
        <f t="shared" si="2"/>
        <v>0.40105097722666788</v>
      </c>
      <c r="AS37" s="132"/>
      <c r="AT37" s="132"/>
      <c r="AU37" s="132"/>
      <c r="AV37" s="132"/>
      <c r="AW37" s="132"/>
      <c r="AX37" s="78"/>
      <c r="AY37" s="78">
        <v>42409</v>
      </c>
    </row>
    <row r="38" spans="1:52" x14ac:dyDescent="0.25">
      <c r="A38" s="76">
        <v>37</v>
      </c>
      <c r="B38" s="76">
        <v>545</v>
      </c>
      <c r="C38" s="76" t="s">
        <v>211</v>
      </c>
      <c r="D38" s="77" t="s">
        <v>330</v>
      </c>
      <c r="E38" s="137">
        <v>73</v>
      </c>
      <c r="F38" s="137">
        <v>605.55200000000002</v>
      </c>
      <c r="G38" s="137">
        <v>63.173999999999999</v>
      </c>
      <c r="H38" s="137">
        <v>12.8</v>
      </c>
      <c r="I38" s="137">
        <v>116.648</v>
      </c>
      <c r="J38" s="137"/>
      <c r="K38" s="135">
        <v>1047.7</v>
      </c>
      <c r="L38" s="135">
        <v>1047.7</v>
      </c>
      <c r="M38" s="135">
        <v>1037.3130000000001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3"/>
      <c r="AG38" s="133"/>
      <c r="AH38" s="133"/>
      <c r="AI38" s="133"/>
      <c r="AJ38" s="133"/>
      <c r="AK38" s="133"/>
      <c r="AL38" s="133"/>
      <c r="AM38" s="133"/>
      <c r="AN38" s="133"/>
      <c r="AO38" s="131">
        <f t="shared" si="3"/>
        <v>1133.5</v>
      </c>
      <c r="AP38" s="131">
        <f t="shared" si="1"/>
        <v>1769.9</v>
      </c>
      <c r="AQ38" s="131">
        <f t="shared" si="1"/>
        <v>1100.4870000000001</v>
      </c>
      <c r="AR38" s="325">
        <f t="shared" si="2"/>
        <v>0.62177919656477765</v>
      </c>
      <c r="AS38" s="132"/>
      <c r="AT38" s="132"/>
      <c r="AU38" s="132"/>
      <c r="AV38" s="132"/>
      <c r="AW38" s="132"/>
      <c r="AX38" s="78"/>
      <c r="AY38" s="78"/>
    </row>
    <row r="39" spans="1:52" x14ac:dyDescent="0.25">
      <c r="A39" s="76">
        <v>38</v>
      </c>
      <c r="B39" s="76"/>
      <c r="C39" s="76" t="s">
        <v>211</v>
      </c>
      <c r="D39" s="77" t="s">
        <v>477</v>
      </c>
      <c r="E39" s="137"/>
      <c r="F39" s="137"/>
      <c r="G39" s="137"/>
      <c r="H39" s="137"/>
      <c r="I39" s="137"/>
      <c r="J39" s="137"/>
      <c r="K39" s="135"/>
      <c r="L39" s="135"/>
      <c r="M39" s="135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>
        <v>1800</v>
      </c>
      <c r="AD39" s="137">
        <v>1800</v>
      </c>
      <c r="AE39" s="137">
        <v>1362</v>
      </c>
      <c r="AF39" s="133"/>
      <c r="AG39" s="133"/>
      <c r="AH39" s="133"/>
      <c r="AI39" s="133"/>
      <c r="AJ39" s="133"/>
      <c r="AK39" s="133"/>
      <c r="AL39" s="133"/>
      <c r="AM39" s="133"/>
      <c r="AN39" s="133"/>
      <c r="AO39" s="131">
        <f t="shared" si="3"/>
        <v>1800</v>
      </c>
      <c r="AP39" s="131">
        <f t="shared" si="1"/>
        <v>1800</v>
      </c>
      <c r="AQ39" s="131">
        <f t="shared" si="1"/>
        <v>1362</v>
      </c>
      <c r="AR39" s="325">
        <f t="shared" si="2"/>
        <v>0.75666666666666671</v>
      </c>
      <c r="AS39" s="132"/>
      <c r="AT39" s="132"/>
      <c r="AU39" s="132"/>
      <c r="AV39" s="132"/>
      <c r="AW39" s="132"/>
      <c r="AX39" s="78"/>
      <c r="AY39" s="78"/>
    </row>
    <row r="40" spans="1:52" x14ac:dyDescent="0.25">
      <c r="A40" s="76">
        <v>39</v>
      </c>
      <c r="B40" s="76">
        <v>546</v>
      </c>
      <c r="C40" s="76" t="s">
        <v>211</v>
      </c>
      <c r="D40" s="154" t="s">
        <v>333</v>
      </c>
      <c r="E40" s="137"/>
      <c r="F40" s="137"/>
      <c r="G40" s="137"/>
      <c r="H40" s="137"/>
      <c r="I40" s="137"/>
      <c r="J40" s="137"/>
      <c r="K40" s="135">
        <v>1128</v>
      </c>
      <c r="L40" s="135">
        <v>1128</v>
      </c>
      <c r="M40" s="135">
        <v>563.73599999999999</v>
      </c>
      <c r="N40" s="137"/>
      <c r="O40" s="137"/>
      <c r="P40" s="137"/>
      <c r="Q40" s="137"/>
      <c r="R40" s="137"/>
      <c r="S40" s="137"/>
      <c r="T40" s="137">
        <v>2903</v>
      </c>
      <c r="U40" s="137">
        <v>2903</v>
      </c>
      <c r="V40" s="137">
        <v>985.99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3"/>
      <c r="AG40" s="133"/>
      <c r="AH40" s="133"/>
      <c r="AI40" s="133"/>
      <c r="AJ40" s="133"/>
      <c r="AK40" s="133"/>
      <c r="AL40" s="133"/>
      <c r="AM40" s="133"/>
      <c r="AN40" s="133"/>
      <c r="AO40" s="131">
        <f t="shared" si="3"/>
        <v>4031</v>
      </c>
      <c r="AP40" s="131">
        <f t="shared" si="1"/>
        <v>4031</v>
      </c>
      <c r="AQ40" s="131">
        <f t="shared" si="1"/>
        <v>1549.7260000000001</v>
      </c>
      <c r="AR40" s="325">
        <f t="shared" si="2"/>
        <v>0.3844519970230712</v>
      </c>
      <c r="AS40" s="132"/>
      <c r="AT40" s="132"/>
      <c r="AU40" s="132"/>
      <c r="AV40" s="132"/>
      <c r="AW40" s="132"/>
      <c r="AX40" s="78"/>
      <c r="AY40" s="78">
        <v>706</v>
      </c>
    </row>
    <row r="41" spans="1:52" x14ac:dyDescent="0.25">
      <c r="A41" s="76">
        <v>40</v>
      </c>
      <c r="B41" s="76">
        <v>547</v>
      </c>
      <c r="C41" s="76" t="s">
        <v>217</v>
      </c>
      <c r="D41" s="77" t="s">
        <v>332</v>
      </c>
      <c r="E41" s="137"/>
      <c r="F41" s="137"/>
      <c r="G41" s="137"/>
      <c r="H41" s="137"/>
      <c r="I41" s="137"/>
      <c r="J41" s="137"/>
      <c r="K41" s="135">
        <v>446</v>
      </c>
      <c r="L41" s="135">
        <v>446</v>
      </c>
      <c r="M41" s="135">
        <v>544.005</v>
      </c>
      <c r="N41" s="137"/>
      <c r="O41" s="137"/>
      <c r="P41" s="137"/>
      <c r="Q41" s="137">
        <v>250</v>
      </c>
      <c r="R41" s="137">
        <v>250</v>
      </c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3"/>
      <c r="AG41" s="133"/>
      <c r="AH41" s="133"/>
      <c r="AI41" s="133"/>
      <c r="AJ41" s="133"/>
      <c r="AK41" s="133"/>
      <c r="AL41" s="133"/>
      <c r="AM41" s="133"/>
      <c r="AN41" s="133"/>
      <c r="AO41" s="131">
        <f t="shared" si="3"/>
        <v>696</v>
      </c>
      <c r="AP41" s="131">
        <f t="shared" si="1"/>
        <v>696</v>
      </c>
      <c r="AQ41" s="131">
        <f t="shared" si="1"/>
        <v>544.005</v>
      </c>
      <c r="AR41" s="325">
        <f t="shared" si="2"/>
        <v>0.78161637931034478</v>
      </c>
      <c r="AS41" s="132"/>
      <c r="AT41" s="132"/>
      <c r="AU41" s="132"/>
      <c r="AV41" s="132"/>
      <c r="AW41" s="132"/>
      <c r="AX41" s="78"/>
      <c r="AY41" s="78">
        <v>1171</v>
      </c>
    </row>
    <row r="42" spans="1:52" x14ac:dyDescent="0.25">
      <c r="A42" s="76">
        <v>41</v>
      </c>
      <c r="B42" s="76">
        <v>552</v>
      </c>
      <c r="C42" s="76" t="s">
        <v>211</v>
      </c>
      <c r="D42" s="77" t="s">
        <v>331</v>
      </c>
      <c r="E42" s="137"/>
      <c r="F42" s="137"/>
      <c r="G42" s="137"/>
      <c r="H42" s="137"/>
      <c r="I42" s="137"/>
      <c r="J42" s="137"/>
      <c r="K42" s="135">
        <v>410</v>
      </c>
      <c r="L42" s="135">
        <v>410</v>
      </c>
      <c r="M42" s="135">
        <v>47.805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3"/>
      <c r="AG42" s="133"/>
      <c r="AH42" s="133"/>
      <c r="AI42" s="133"/>
      <c r="AJ42" s="133"/>
      <c r="AK42" s="133"/>
      <c r="AL42" s="133"/>
      <c r="AM42" s="133"/>
      <c r="AN42" s="133"/>
      <c r="AO42" s="131">
        <f t="shared" si="3"/>
        <v>410</v>
      </c>
      <c r="AP42" s="131">
        <f t="shared" si="1"/>
        <v>410</v>
      </c>
      <c r="AQ42" s="131">
        <f t="shared" si="1"/>
        <v>47.805</v>
      </c>
      <c r="AR42" s="325">
        <f t="shared" si="2"/>
        <v>0.11659756097560975</v>
      </c>
      <c r="AS42" s="132"/>
      <c r="AT42" s="132"/>
      <c r="AU42" s="132"/>
      <c r="AV42" s="132"/>
      <c r="AW42" s="132"/>
      <c r="AX42" s="78"/>
      <c r="AY42" s="78">
        <v>1551</v>
      </c>
    </row>
    <row r="43" spans="1:52" x14ac:dyDescent="0.25">
      <c r="A43" s="76">
        <v>42</v>
      </c>
      <c r="B43" s="76">
        <v>553</v>
      </c>
      <c r="C43" s="76" t="s">
        <v>211</v>
      </c>
      <c r="D43" s="77" t="s">
        <v>313</v>
      </c>
      <c r="E43" s="137"/>
      <c r="F43" s="137"/>
      <c r="G43" s="137"/>
      <c r="H43" s="137"/>
      <c r="I43" s="137"/>
      <c r="J43" s="137"/>
      <c r="K43" s="135">
        <v>626</v>
      </c>
      <c r="L43" s="135">
        <v>626</v>
      </c>
      <c r="M43" s="135">
        <v>8.1280000000000001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3"/>
      <c r="AG43" s="133"/>
      <c r="AH43" s="133"/>
      <c r="AI43" s="133"/>
      <c r="AJ43" s="133"/>
      <c r="AK43" s="133"/>
      <c r="AL43" s="133"/>
      <c r="AM43" s="133"/>
      <c r="AN43" s="133"/>
      <c r="AO43" s="131">
        <f t="shared" si="3"/>
        <v>626</v>
      </c>
      <c r="AP43" s="131">
        <f t="shared" si="1"/>
        <v>626</v>
      </c>
      <c r="AQ43" s="131">
        <f t="shared" si="1"/>
        <v>8.1280000000000001</v>
      </c>
      <c r="AR43" s="325">
        <f t="shared" si="2"/>
        <v>1.2984025559105432E-2</v>
      </c>
      <c r="AS43" s="132"/>
      <c r="AT43" s="132"/>
      <c r="AU43" s="132"/>
      <c r="AV43" s="132"/>
      <c r="AW43" s="132"/>
      <c r="AX43" s="78"/>
      <c r="AY43" s="78">
        <v>4552</v>
      </c>
    </row>
    <row r="44" spans="1:52" x14ac:dyDescent="0.25">
      <c r="A44" s="76">
        <v>43</v>
      </c>
      <c r="B44" s="76">
        <v>548</v>
      </c>
      <c r="C44" s="76" t="s">
        <v>211</v>
      </c>
      <c r="D44" s="77" t="s">
        <v>335</v>
      </c>
      <c r="E44" s="137"/>
      <c r="F44" s="137"/>
      <c r="G44" s="137"/>
      <c r="H44" s="137"/>
      <c r="I44" s="137"/>
      <c r="J44" s="137"/>
      <c r="K44" s="135">
        <v>500</v>
      </c>
      <c r="L44" s="135">
        <v>500</v>
      </c>
      <c r="M44" s="135"/>
      <c r="N44" s="137"/>
      <c r="O44" s="137"/>
      <c r="P44" s="137"/>
      <c r="Q44" s="137">
        <v>5285</v>
      </c>
      <c r="R44" s="137">
        <v>5285</v>
      </c>
      <c r="S44" s="137">
        <v>71.183000000000007</v>
      </c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3"/>
      <c r="AG44" s="133"/>
      <c r="AH44" s="133"/>
      <c r="AI44" s="133"/>
      <c r="AJ44" s="133"/>
      <c r="AK44" s="133"/>
      <c r="AL44" s="133"/>
      <c r="AM44" s="133"/>
      <c r="AN44" s="133"/>
      <c r="AO44" s="131">
        <f t="shared" si="3"/>
        <v>5785</v>
      </c>
      <c r="AP44" s="131">
        <f t="shared" si="1"/>
        <v>5785</v>
      </c>
      <c r="AQ44" s="131">
        <f t="shared" si="1"/>
        <v>71.183000000000007</v>
      </c>
      <c r="AR44" s="325">
        <f t="shared" si="2"/>
        <v>1.2304753673293001E-2</v>
      </c>
      <c r="AS44" s="132"/>
      <c r="AT44" s="132"/>
      <c r="AU44" s="132"/>
      <c r="AV44" s="132"/>
      <c r="AW44" s="132"/>
      <c r="AX44" s="78"/>
      <c r="AY44" s="78"/>
    </row>
    <row r="45" spans="1:52" ht="15.75" x14ac:dyDescent="0.25">
      <c r="A45" s="76">
        <v>44</v>
      </c>
      <c r="B45" s="76"/>
      <c r="C45" s="76" t="s">
        <v>211</v>
      </c>
      <c r="D45" s="77" t="s">
        <v>478</v>
      </c>
      <c r="E45" s="137"/>
      <c r="F45" s="137"/>
      <c r="G45" s="137"/>
      <c r="H45" s="137"/>
      <c r="I45" s="137"/>
      <c r="J45" s="137"/>
      <c r="K45" s="135"/>
      <c r="L45" s="135"/>
      <c r="M45" s="135"/>
      <c r="N45" s="137"/>
      <c r="O45" s="137"/>
      <c r="P45" s="137"/>
      <c r="Q45" s="137">
        <v>12.1</v>
      </c>
      <c r="R45" s="137">
        <v>12.1</v>
      </c>
      <c r="S45" s="137">
        <v>12.1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3"/>
      <c r="AG45" s="133"/>
      <c r="AH45" s="133"/>
      <c r="AI45" s="133"/>
      <c r="AJ45" s="133"/>
      <c r="AK45" s="133"/>
      <c r="AL45" s="133"/>
      <c r="AM45" s="133"/>
      <c r="AN45" s="133"/>
      <c r="AO45" s="131">
        <f t="shared" si="3"/>
        <v>12.1</v>
      </c>
      <c r="AP45" s="131">
        <f t="shared" si="1"/>
        <v>12.1</v>
      </c>
      <c r="AQ45" s="131">
        <f t="shared" si="1"/>
        <v>12.1</v>
      </c>
      <c r="AR45" s="325">
        <f t="shared" si="2"/>
        <v>1</v>
      </c>
      <c r="AS45" s="132"/>
      <c r="AT45" s="132"/>
      <c r="AU45" s="132"/>
      <c r="AV45" s="132"/>
      <c r="AW45" s="132"/>
      <c r="AX45" s="78"/>
      <c r="AY45" s="78"/>
    </row>
    <row r="46" spans="1:52" x14ac:dyDescent="0.25">
      <c r="A46" s="76">
        <v>45</v>
      </c>
      <c r="B46" s="76">
        <v>549</v>
      </c>
      <c r="C46" s="76" t="s">
        <v>217</v>
      </c>
      <c r="D46" s="77" t="s">
        <v>479</v>
      </c>
      <c r="E46" s="137"/>
      <c r="F46" s="137"/>
      <c r="G46" s="137"/>
      <c r="H46" s="137"/>
      <c r="I46" s="137"/>
      <c r="J46" s="137"/>
      <c r="K46" s="135">
        <v>4810</v>
      </c>
      <c r="L46" s="135">
        <v>4810</v>
      </c>
      <c r="M46" s="135">
        <v>363.46100000000001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3"/>
      <c r="AG46" s="133"/>
      <c r="AH46" s="133"/>
      <c r="AI46" s="133"/>
      <c r="AJ46" s="133"/>
      <c r="AK46" s="133"/>
      <c r="AL46" s="133"/>
      <c r="AM46" s="133"/>
      <c r="AN46" s="133"/>
      <c r="AO46" s="131">
        <f t="shared" si="3"/>
        <v>4810</v>
      </c>
      <c r="AP46" s="131">
        <f t="shared" si="1"/>
        <v>4810</v>
      </c>
      <c r="AQ46" s="131">
        <f t="shared" si="1"/>
        <v>363.46100000000001</v>
      </c>
      <c r="AR46" s="325">
        <f t="shared" si="2"/>
        <v>7.5563617463617463E-2</v>
      </c>
      <c r="AS46" s="132"/>
      <c r="AT46" s="132"/>
      <c r="AU46" s="132"/>
      <c r="AV46" s="132"/>
      <c r="AW46" s="132"/>
      <c r="AX46" s="78"/>
      <c r="AY46" s="78"/>
    </row>
    <row r="47" spans="1:52" x14ac:dyDescent="0.25">
      <c r="A47" s="76">
        <v>46</v>
      </c>
      <c r="B47" s="76">
        <v>564</v>
      </c>
      <c r="C47" s="76" t="s">
        <v>211</v>
      </c>
      <c r="D47" s="77" t="s">
        <v>338</v>
      </c>
      <c r="E47" s="137"/>
      <c r="F47" s="137"/>
      <c r="G47" s="137"/>
      <c r="H47" s="137"/>
      <c r="I47" s="137"/>
      <c r="J47" s="137"/>
      <c r="K47" s="135">
        <v>165</v>
      </c>
      <c r="L47" s="135">
        <v>165</v>
      </c>
      <c r="M47" s="135">
        <v>164.5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3"/>
      <c r="AG47" s="133"/>
      <c r="AH47" s="133"/>
      <c r="AI47" s="133"/>
      <c r="AJ47" s="133"/>
      <c r="AK47" s="133"/>
      <c r="AL47" s="133"/>
      <c r="AM47" s="133"/>
      <c r="AN47" s="133"/>
      <c r="AO47" s="131">
        <f t="shared" si="3"/>
        <v>165</v>
      </c>
      <c r="AP47" s="131">
        <f t="shared" si="1"/>
        <v>165</v>
      </c>
      <c r="AQ47" s="131">
        <f t="shared" si="1"/>
        <v>164.5</v>
      </c>
      <c r="AR47" s="325">
        <f t="shared" si="2"/>
        <v>0.99696969696969695</v>
      </c>
      <c r="AS47" s="132"/>
      <c r="AT47" s="132"/>
      <c r="AU47" s="132"/>
      <c r="AV47" s="132"/>
      <c r="AW47" s="132"/>
      <c r="AX47" s="78"/>
      <c r="AY47" s="78"/>
    </row>
    <row r="48" spans="1:52" x14ac:dyDescent="0.25">
      <c r="A48" s="76">
        <v>47</v>
      </c>
      <c r="B48" s="76"/>
      <c r="C48" s="76" t="s">
        <v>211</v>
      </c>
      <c r="D48" s="77" t="s">
        <v>480</v>
      </c>
      <c r="E48" s="137"/>
      <c r="F48" s="137"/>
      <c r="G48" s="137"/>
      <c r="H48" s="137"/>
      <c r="I48" s="137"/>
      <c r="J48" s="137"/>
      <c r="K48" s="135">
        <v>50</v>
      </c>
      <c r="L48" s="135">
        <v>50</v>
      </c>
      <c r="M48" s="135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3"/>
      <c r="AG48" s="133"/>
      <c r="AH48" s="133"/>
      <c r="AI48" s="133"/>
      <c r="AJ48" s="133"/>
      <c r="AK48" s="133"/>
      <c r="AL48" s="133"/>
      <c r="AM48" s="133"/>
      <c r="AN48" s="133"/>
      <c r="AO48" s="131">
        <f t="shared" si="3"/>
        <v>50</v>
      </c>
      <c r="AP48" s="131">
        <f t="shared" si="1"/>
        <v>50</v>
      </c>
      <c r="AQ48" s="131">
        <f t="shared" si="1"/>
        <v>0</v>
      </c>
      <c r="AR48" s="325">
        <f t="shared" si="2"/>
        <v>0</v>
      </c>
      <c r="AS48" s="132"/>
      <c r="AT48" s="132"/>
      <c r="AU48" s="132"/>
      <c r="AV48" s="132"/>
      <c r="AW48" s="132"/>
      <c r="AX48" s="78"/>
      <c r="AY48" s="78"/>
    </row>
    <row r="49" spans="1:51" x14ac:dyDescent="0.25">
      <c r="A49" s="76">
        <v>48</v>
      </c>
      <c r="B49" s="76"/>
      <c r="C49" s="76" t="s">
        <v>217</v>
      </c>
      <c r="D49" s="77" t="s">
        <v>481</v>
      </c>
      <c r="E49" s="137"/>
      <c r="F49" s="137"/>
      <c r="G49" s="137"/>
      <c r="H49" s="137"/>
      <c r="I49" s="137"/>
      <c r="J49" s="137"/>
      <c r="K49" s="135"/>
      <c r="L49" s="135">
        <v>10</v>
      </c>
      <c r="M49" s="135"/>
      <c r="N49" s="137"/>
      <c r="O49" s="137"/>
      <c r="P49" s="137"/>
      <c r="Q49" s="137"/>
      <c r="R49" s="137"/>
      <c r="S49" s="137"/>
      <c r="T49" s="137">
        <v>955</v>
      </c>
      <c r="U49" s="137">
        <v>955</v>
      </c>
      <c r="V49" s="137">
        <v>369.03199999999998</v>
      </c>
      <c r="W49" s="137"/>
      <c r="X49" s="137"/>
      <c r="Y49" s="137"/>
      <c r="Z49" s="137"/>
      <c r="AA49" s="137"/>
      <c r="AB49" s="137"/>
      <c r="AC49" s="137"/>
      <c r="AD49" s="137">
        <v>299.23</v>
      </c>
      <c r="AE49" s="137"/>
      <c r="AF49" s="133"/>
      <c r="AG49" s="133"/>
      <c r="AH49" s="133"/>
      <c r="AI49" s="133"/>
      <c r="AJ49" s="133"/>
      <c r="AK49" s="133"/>
      <c r="AL49" s="133"/>
      <c r="AM49" s="133"/>
      <c r="AN49" s="133"/>
      <c r="AO49" s="131">
        <f t="shared" si="3"/>
        <v>955</v>
      </c>
      <c r="AP49" s="131">
        <f t="shared" si="1"/>
        <v>1264.23</v>
      </c>
      <c r="AQ49" s="131">
        <f t="shared" si="1"/>
        <v>369.03199999999998</v>
      </c>
      <c r="AR49" s="325">
        <f t="shared" si="2"/>
        <v>0.29190258101769456</v>
      </c>
      <c r="AS49" s="132"/>
      <c r="AT49" s="132"/>
      <c r="AU49" s="132"/>
      <c r="AV49" s="132"/>
      <c r="AW49" s="132"/>
      <c r="AX49" s="78"/>
      <c r="AY49" s="78"/>
    </row>
    <row r="50" spans="1:51" x14ac:dyDescent="0.25">
      <c r="A50" s="76">
        <v>49</v>
      </c>
      <c r="B50" s="76"/>
      <c r="C50" s="76" t="s">
        <v>217</v>
      </c>
      <c r="D50" s="77" t="s">
        <v>482</v>
      </c>
      <c r="E50" s="137"/>
      <c r="F50" s="137"/>
      <c r="G50" s="137"/>
      <c r="H50" s="137"/>
      <c r="I50" s="137"/>
      <c r="J50" s="137"/>
      <c r="K50" s="135"/>
      <c r="L50" s="135"/>
      <c r="M50" s="135">
        <v>22.08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>
        <v>700</v>
      </c>
      <c r="AD50" s="137">
        <v>700</v>
      </c>
      <c r="AE50" s="137"/>
      <c r="AF50" s="133"/>
      <c r="AG50" s="133"/>
      <c r="AH50" s="133"/>
      <c r="AI50" s="133"/>
      <c r="AJ50" s="133"/>
      <c r="AK50" s="133"/>
      <c r="AL50" s="133"/>
      <c r="AM50" s="133"/>
      <c r="AN50" s="133"/>
      <c r="AO50" s="131">
        <f t="shared" si="3"/>
        <v>700</v>
      </c>
      <c r="AP50" s="131">
        <f t="shared" si="1"/>
        <v>700</v>
      </c>
      <c r="AQ50" s="131">
        <f t="shared" si="1"/>
        <v>22.08</v>
      </c>
      <c r="AR50" s="325">
        <f t="shared" si="2"/>
        <v>3.1542857142857143E-2</v>
      </c>
      <c r="AS50" s="132"/>
      <c r="AT50" s="132"/>
      <c r="AU50" s="132"/>
      <c r="AV50" s="132"/>
      <c r="AW50" s="132"/>
      <c r="AX50" s="78"/>
      <c r="AY50" s="78"/>
    </row>
    <row r="51" spans="1:51" x14ac:dyDescent="0.25">
      <c r="A51" s="76">
        <v>50</v>
      </c>
      <c r="B51" s="76"/>
      <c r="C51" s="76" t="s">
        <v>217</v>
      </c>
      <c r="D51" s="77" t="s">
        <v>483</v>
      </c>
      <c r="E51" s="137"/>
      <c r="F51" s="137"/>
      <c r="G51" s="137"/>
      <c r="H51" s="137"/>
      <c r="I51" s="137"/>
      <c r="J51" s="137"/>
      <c r="K51" s="135">
        <v>1767</v>
      </c>
      <c r="L51" s="135">
        <v>1767</v>
      </c>
      <c r="M51" s="135">
        <v>5995.2290000000003</v>
      </c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>
        <v>110015</v>
      </c>
      <c r="AD51" s="137">
        <v>99720.436000000002</v>
      </c>
      <c r="AE51" s="137"/>
      <c r="AF51" s="133"/>
      <c r="AG51" s="133"/>
      <c r="AH51" s="133"/>
      <c r="AI51" s="133"/>
      <c r="AJ51" s="133"/>
      <c r="AK51" s="133"/>
      <c r="AL51" s="133"/>
      <c r="AM51" s="133"/>
      <c r="AN51" s="133"/>
      <c r="AO51" s="131">
        <f t="shared" si="3"/>
        <v>111782</v>
      </c>
      <c r="AP51" s="131">
        <f t="shared" si="1"/>
        <v>101487.436</v>
      </c>
      <c r="AQ51" s="131">
        <f t="shared" si="1"/>
        <v>5995.2290000000003</v>
      </c>
      <c r="AR51" s="325">
        <f t="shared" si="2"/>
        <v>5.9073607889749032E-2</v>
      </c>
      <c r="AS51" s="132"/>
      <c r="AT51" s="132"/>
      <c r="AU51" s="132"/>
      <c r="AV51" s="132"/>
      <c r="AW51" s="132"/>
      <c r="AX51" s="78"/>
      <c r="AY51" s="78"/>
    </row>
    <row r="52" spans="1:51" x14ac:dyDescent="0.25">
      <c r="A52" s="76">
        <v>51</v>
      </c>
      <c r="B52" s="76"/>
      <c r="C52" s="76" t="s">
        <v>217</v>
      </c>
      <c r="D52" s="77" t="s">
        <v>484</v>
      </c>
      <c r="E52" s="137"/>
      <c r="F52" s="137"/>
      <c r="G52" s="137"/>
      <c r="H52" s="137"/>
      <c r="I52" s="137"/>
      <c r="J52" s="137"/>
      <c r="K52" s="135">
        <v>685</v>
      </c>
      <c r="L52" s="135">
        <v>685</v>
      </c>
      <c r="M52" s="135">
        <v>30</v>
      </c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>
        <v>46438</v>
      </c>
      <c r="AD52" s="137">
        <v>46438</v>
      </c>
      <c r="AE52" s="137"/>
      <c r="AF52" s="133"/>
      <c r="AG52" s="133"/>
      <c r="AH52" s="133"/>
      <c r="AI52" s="133"/>
      <c r="AJ52" s="133"/>
      <c r="AK52" s="133"/>
      <c r="AL52" s="133"/>
      <c r="AM52" s="133"/>
      <c r="AN52" s="133"/>
      <c r="AO52" s="131">
        <f t="shared" si="3"/>
        <v>47123</v>
      </c>
      <c r="AP52" s="131">
        <f t="shared" si="1"/>
        <v>47123</v>
      </c>
      <c r="AQ52" s="131">
        <f t="shared" si="1"/>
        <v>30</v>
      </c>
      <c r="AR52" s="325">
        <f t="shared" si="2"/>
        <v>6.3663179339176203E-4</v>
      </c>
      <c r="AS52" s="132"/>
      <c r="AT52" s="132"/>
      <c r="AU52" s="132"/>
      <c r="AV52" s="132"/>
      <c r="AW52" s="132"/>
      <c r="AX52" s="78"/>
      <c r="AY52" s="78"/>
    </row>
    <row r="53" spans="1:51" x14ac:dyDescent="0.25">
      <c r="A53" s="76">
        <v>52</v>
      </c>
      <c r="B53" s="76">
        <v>556</v>
      </c>
      <c r="C53" s="76" t="s">
        <v>217</v>
      </c>
      <c r="D53" s="77" t="s">
        <v>342</v>
      </c>
      <c r="E53" s="137">
        <v>9241</v>
      </c>
      <c r="F53" s="137">
        <v>9241</v>
      </c>
      <c r="G53" s="137">
        <v>890.88</v>
      </c>
      <c r="H53" s="137">
        <v>2033</v>
      </c>
      <c r="I53" s="137">
        <v>2033</v>
      </c>
      <c r="J53" s="137">
        <v>126.36</v>
      </c>
      <c r="K53" s="135">
        <v>29690</v>
      </c>
      <c r="L53" s="135">
        <v>29690</v>
      </c>
      <c r="M53" s="135">
        <v>8939.3130000000001</v>
      </c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3"/>
      <c r="AG53" s="133"/>
      <c r="AH53" s="133"/>
      <c r="AI53" s="133"/>
      <c r="AJ53" s="133"/>
      <c r="AK53" s="133"/>
      <c r="AL53" s="133"/>
      <c r="AM53" s="133"/>
      <c r="AN53" s="133"/>
      <c r="AO53" s="131">
        <f t="shared" si="3"/>
        <v>40964</v>
      </c>
      <c r="AP53" s="131">
        <f t="shared" si="1"/>
        <v>40964</v>
      </c>
      <c r="AQ53" s="131">
        <f t="shared" si="1"/>
        <v>9956.5529999999999</v>
      </c>
      <c r="AR53" s="325">
        <f t="shared" si="2"/>
        <v>0.2430561712723367</v>
      </c>
      <c r="AS53" s="132"/>
      <c r="AT53" s="132"/>
      <c r="AU53" s="132"/>
      <c r="AV53" s="132"/>
      <c r="AW53" s="132"/>
      <c r="AX53" s="78"/>
      <c r="AY53" s="78"/>
    </row>
    <row r="54" spans="1:51" x14ac:dyDescent="0.25">
      <c r="A54" s="76">
        <v>53</v>
      </c>
      <c r="B54" s="76"/>
      <c r="C54" s="76" t="s">
        <v>217</v>
      </c>
      <c r="D54" s="77" t="s">
        <v>346</v>
      </c>
      <c r="E54" s="137"/>
      <c r="F54" s="137"/>
      <c r="G54" s="137"/>
      <c r="H54" s="137"/>
      <c r="I54" s="137"/>
      <c r="J54" s="137"/>
      <c r="K54" s="135">
        <v>2102</v>
      </c>
      <c r="L54" s="135">
        <v>2102</v>
      </c>
      <c r="M54" s="135">
        <v>1879.4</v>
      </c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>
        <v>55115</v>
      </c>
      <c r="AD54" s="137">
        <v>55115</v>
      </c>
      <c r="AE54" s="137"/>
      <c r="AF54" s="133"/>
      <c r="AG54" s="133"/>
      <c r="AH54" s="133"/>
      <c r="AI54" s="133"/>
      <c r="AJ54" s="133"/>
      <c r="AK54" s="133"/>
      <c r="AL54" s="133"/>
      <c r="AM54" s="133"/>
      <c r="AN54" s="133"/>
      <c r="AO54" s="131">
        <f t="shared" si="3"/>
        <v>57217</v>
      </c>
      <c r="AP54" s="131">
        <f t="shared" si="1"/>
        <v>57217</v>
      </c>
      <c r="AQ54" s="131">
        <f t="shared" si="1"/>
        <v>1879.4</v>
      </c>
      <c r="AR54" s="325">
        <f t="shared" si="2"/>
        <v>3.2846881171679748E-2</v>
      </c>
      <c r="AS54" s="132"/>
      <c r="AT54" s="132"/>
      <c r="AU54" s="132"/>
      <c r="AV54" s="132"/>
      <c r="AW54" s="132"/>
      <c r="AX54" s="78"/>
      <c r="AY54" s="78"/>
    </row>
    <row r="55" spans="1:51" x14ac:dyDescent="0.25">
      <c r="A55" s="76">
        <v>54</v>
      </c>
      <c r="B55" s="76"/>
      <c r="C55" s="76" t="s">
        <v>217</v>
      </c>
      <c r="D55" s="77" t="s">
        <v>485</v>
      </c>
      <c r="E55" s="137">
        <v>9881</v>
      </c>
      <c r="F55" s="137">
        <v>9881</v>
      </c>
      <c r="G55" s="137">
        <v>233.88</v>
      </c>
      <c r="H55" s="137">
        <v>2126</v>
      </c>
      <c r="I55" s="137">
        <v>2126</v>
      </c>
      <c r="J55" s="137">
        <v>43.02</v>
      </c>
      <c r="K55" s="135">
        <v>1493</v>
      </c>
      <c r="L55" s="135">
        <v>1493</v>
      </c>
      <c r="M55" s="135">
        <v>131.785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3"/>
      <c r="AG55" s="133"/>
      <c r="AH55" s="133"/>
      <c r="AI55" s="133">
        <v>6656.232</v>
      </c>
      <c r="AJ55" s="133">
        <v>6656.232</v>
      </c>
      <c r="AK55" s="133"/>
      <c r="AL55" s="133"/>
      <c r="AM55" s="133"/>
      <c r="AN55" s="133"/>
      <c r="AO55" s="131">
        <f t="shared" si="3"/>
        <v>20156.232</v>
      </c>
      <c r="AP55" s="131">
        <f t="shared" si="1"/>
        <v>20156.232</v>
      </c>
      <c r="AQ55" s="131">
        <f t="shared" si="1"/>
        <v>408.68499999999995</v>
      </c>
      <c r="AR55" s="325">
        <f t="shared" si="2"/>
        <v>2.0275863068057558E-2</v>
      </c>
      <c r="AS55" s="132"/>
      <c r="AT55" s="132"/>
      <c r="AU55" s="132"/>
      <c r="AV55" s="132"/>
      <c r="AW55" s="132"/>
      <c r="AX55" s="78"/>
      <c r="AY55" s="78"/>
    </row>
    <row r="56" spans="1:51" x14ac:dyDescent="0.25">
      <c r="A56" s="76">
        <v>55</v>
      </c>
      <c r="B56" s="76">
        <v>557</v>
      </c>
      <c r="C56" s="76" t="s">
        <v>217</v>
      </c>
      <c r="D56" s="77" t="s">
        <v>341</v>
      </c>
      <c r="E56" s="137">
        <v>2448</v>
      </c>
      <c r="F56" s="137">
        <v>2448</v>
      </c>
      <c r="G56" s="137"/>
      <c r="H56" s="137">
        <v>1252</v>
      </c>
      <c r="I56" s="137">
        <v>1252</v>
      </c>
      <c r="J56" s="137"/>
      <c r="K56" s="135">
        <v>11915</v>
      </c>
      <c r="L56" s="135">
        <v>11915</v>
      </c>
      <c r="M56" s="135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>
        <v>189753</v>
      </c>
      <c r="AD56" s="137">
        <v>190261</v>
      </c>
      <c r="AE56" s="137"/>
      <c r="AF56" s="133"/>
      <c r="AG56" s="133"/>
      <c r="AH56" s="133"/>
      <c r="AI56" s="133">
        <v>2846</v>
      </c>
      <c r="AJ56" s="133">
        <v>2846</v>
      </c>
      <c r="AK56" s="133"/>
      <c r="AL56" s="133"/>
      <c r="AM56" s="133"/>
      <c r="AN56" s="133"/>
      <c r="AO56" s="131">
        <f t="shared" si="3"/>
        <v>208214</v>
      </c>
      <c r="AP56" s="131">
        <f t="shared" si="1"/>
        <v>208722</v>
      </c>
      <c r="AQ56" s="131">
        <f t="shared" si="1"/>
        <v>0</v>
      </c>
      <c r="AR56" s="325">
        <f t="shared" si="2"/>
        <v>0</v>
      </c>
      <c r="AS56" s="132"/>
      <c r="AT56" s="132"/>
      <c r="AU56" s="132"/>
      <c r="AV56" s="132"/>
      <c r="AW56" s="132"/>
      <c r="AX56" s="78"/>
      <c r="AY56" s="78"/>
    </row>
    <row r="57" spans="1:51" x14ac:dyDescent="0.25">
      <c r="A57" s="76">
        <v>56</v>
      </c>
      <c r="B57" s="76">
        <v>558</v>
      </c>
      <c r="C57" s="284" t="s">
        <v>217</v>
      </c>
      <c r="D57" s="77" t="s">
        <v>343</v>
      </c>
      <c r="E57" s="137"/>
      <c r="F57" s="137"/>
      <c r="G57" s="137"/>
      <c r="H57" s="137"/>
      <c r="I57" s="137"/>
      <c r="J57" s="137"/>
      <c r="K57" s="135">
        <v>2530</v>
      </c>
      <c r="L57" s="135">
        <v>2530</v>
      </c>
      <c r="M57" s="135">
        <v>1930</v>
      </c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>
        <v>45500</v>
      </c>
      <c r="AD57" s="137">
        <v>45500</v>
      </c>
      <c r="AE57" s="137"/>
      <c r="AF57" s="133"/>
      <c r="AG57" s="133"/>
      <c r="AH57" s="133"/>
      <c r="AI57" s="133"/>
      <c r="AJ57" s="133"/>
      <c r="AK57" s="133"/>
      <c r="AL57" s="133"/>
      <c r="AM57" s="133"/>
      <c r="AN57" s="133"/>
      <c r="AO57" s="131">
        <f t="shared" si="3"/>
        <v>48030</v>
      </c>
      <c r="AP57" s="131">
        <f t="shared" si="1"/>
        <v>48030</v>
      </c>
      <c r="AQ57" s="131">
        <f t="shared" si="1"/>
        <v>1930</v>
      </c>
      <c r="AR57" s="325">
        <f t="shared" si="2"/>
        <v>4.0183218821569854E-2</v>
      </c>
      <c r="AS57" s="132"/>
      <c r="AT57" s="132"/>
      <c r="AU57" s="132"/>
      <c r="AV57" s="132"/>
      <c r="AW57" s="132"/>
      <c r="AX57" s="78"/>
      <c r="AY57" s="78"/>
    </row>
    <row r="58" spans="1:51" x14ac:dyDescent="0.25">
      <c r="A58" s="76">
        <v>57</v>
      </c>
      <c r="B58" s="76">
        <v>559</v>
      </c>
      <c r="C58" s="76" t="s">
        <v>217</v>
      </c>
      <c r="D58" s="77" t="s">
        <v>344</v>
      </c>
      <c r="E58" s="137"/>
      <c r="F58" s="137"/>
      <c r="G58" s="137"/>
      <c r="H58" s="137"/>
      <c r="I58" s="137"/>
      <c r="J58" s="137"/>
      <c r="K58" s="135">
        <v>11355</v>
      </c>
      <c r="L58" s="135">
        <v>11355</v>
      </c>
      <c r="M58" s="135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>
        <v>159401</v>
      </c>
      <c r="AD58" s="137">
        <v>159401</v>
      </c>
      <c r="AE58" s="137"/>
      <c r="AF58" s="133"/>
      <c r="AG58" s="133"/>
      <c r="AH58" s="133"/>
      <c r="AI58" s="133"/>
      <c r="AJ58" s="133"/>
      <c r="AK58" s="133"/>
      <c r="AL58" s="133"/>
      <c r="AM58" s="133"/>
      <c r="AN58" s="133"/>
      <c r="AO58" s="131">
        <f t="shared" si="3"/>
        <v>170756</v>
      </c>
      <c r="AP58" s="131">
        <f t="shared" si="1"/>
        <v>170756</v>
      </c>
      <c r="AQ58" s="131">
        <f t="shared" si="1"/>
        <v>0</v>
      </c>
      <c r="AR58" s="325">
        <f t="shared" si="2"/>
        <v>0</v>
      </c>
      <c r="AS58" s="132"/>
      <c r="AT58" s="132"/>
      <c r="AU58" s="132"/>
      <c r="AV58" s="132"/>
      <c r="AW58" s="132"/>
      <c r="AX58" s="78"/>
      <c r="AY58" s="78"/>
    </row>
    <row r="59" spans="1:51" x14ac:dyDescent="0.25">
      <c r="A59" s="76">
        <v>58</v>
      </c>
      <c r="B59" s="76">
        <v>560</v>
      </c>
      <c r="C59" s="284" t="s">
        <v>217</v>
      </c>
      <c r="D59" s="77" t="s">
        <v>486</v>
      </c>
      <c r="E59" s="137"/>
      <c r="F59" s="137">
        <v>11285</v>
      </c>
      <c r="G59" s="137">
        <v>1120</v>
      </c>
      <c r="H59" s="137"/>
      <c r="I59" s="137">
        <v>2201.1999999999998</v>
      </c>
      <c r="J59" s="137">
        <v>218.4</v>
      </c>
      <c r="K59" s="135"/>
      <c r="L59" s="135">
        <v>1866</v>
      </c>
      <c r="M59" s="135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3"/>
      <c r="AG59" s="133"/>
      <c r="AH59" s="133"/>
      <c r="AI59" s="133"/>
      <c r="AJ59" s="133"/>
      <c r="AK59" s="133"/>
      <c r="AL59" s="133"/>
      <c r="AM59" s="133"/>
      <c r="AN59" s="133"/>
      <c r="AO59" s="131">
        <f t="shared" si="3"/>
        <v>0</v>
      </c>
      <c r="AP59" s="131">
        <f t="shared" si="1"/>
        <v>15352.2</v>
      </c>
      <c r="AQ59" s="131">
        <f t="shared" si="1"/>
        <v>1338.4</v>
      </c>
      <c r="AR59" s="325">
        <f t="shared" si="2"/>
        <v>8.717968760177694E-2</v>
      </c>
      <c r="AS59" s="132"/>
      <c r="AT59" s="132"/>
      <c r="AU59" s="132"/>
      <c r="AV59" s="132"/>
      <c r="AW59" s="132"/>
      <c r="AX59" s="78"/>
      <c r="AY59" s="78"/>
    </row>
    <row r="60" spans="1:51" x14ac:dyDescent="0.25">
      <c r="A60" s="76">
        <v>59</v>
      </c>
      <c r="B60" s="76">
        <v>561</v>
      </c>
      <c r="C60" s="76" t="s">
        <v>217</v>
      </c>
      <c r="D60" s="79" t="s">
        <v>460</v>
      </c>
      <c r="E60" s="137"/>
      <c r="F60" s="137">
        <v>6375</v>
      </c>
      <c r="G60" s="137"/>
      <c r="H60" s="137"/>
      <c r="I60" s="137">
        <v>1243.3</v>
      </c>
      <c r="J60" s="137"/>
      <c r="K60" s="135"/>
      <c r="L60" s="135">
        <v>1776</v>
      </c>
      <c r="M60" s="135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3"/>
      <c r="AG60" s="133"/>
      <c r="AH60" s="133"/>
      <c r="AI60" s="133"/>
      <c r="AJ60" s="133"/>
      <c r="AK60" s="133"/>
      <c r="AL60" s="133"/>
      <c r="AM60" s="133"/>
      <c r="AN60" s="133"/>
      <c r="AO60" s="131">
        <f t="shared" si="3"/>
        <v>0</v>
      </c>
      <c r="AP60" s="131">
        <f t="shared" si="1"/>
        <v>9394.2999999999993</v>
      </c>
      <c r="AQ60" s="131">
        <f t="shared" si="1"/>
        <v>0</v>
      </c>
      <c r="AR60" s="325">
        <f t="shared" si="2"/>
        <v>0</v>
      </c>
      <c r="AS60" s="132"/>
      <c r="AT60" s="132"/>
      <c r="AU60" s="132"/>
      <c r="AV60" s="132"/>
      <c r="AW60" s="132"/>
      <c r="AX60" s="78"/>
      <c r="AY60" s="78"/>
    </row>
    <row r="61" spans="1:51" x14ac:dyDescent="0.25">
      <c r="A61" s="76">
        <v>60</v>
      </c>
      <c r="B61" s="76">
        <v>562</v>
      </c>
      <c r="C61" s="76" t="s">
        <v>217</v>
      </c>
      <c r="D61" s="77" t="s">
        <v>487</v>
      </c>
      <c r="E61" s="137"/>
      <c r="F61" s="137"/>
      <c r="G61" s="137"/>
      <c r="H61" s="137"/>
      <c r="I61" s="137"/>
      <c r="J61" s="137"/>
      <c r="K61" s="135"/>
      <c r="L61" s="135">
        <v>50</v>
      </c>
      <c r="M61" s="135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3"/>
      <c r="AG61" s="133"/>
      <c r="AH61" s="133"/>
      <c r="AI61" s="133"/>
      <c r="AJ61" s="133"/>
      <c r="AK61" s="133"/>
      <c r="AL61" s="133"/>
      <c r="AM61" s="133"/>
      <c r="AN61" s="133"/>
      <c r="AO61" s="131">
        <f t="shared" si="3"/>
        <v>0</v>
      </c>
      <c r="AP61" s="131">
        <f t="shared" si="1"/>
        <v>50</v>
      </c>
      <c r="AQ61" s="131">
        <f t="shared" si="1"/>
        <v>0</v>
      </c>
      <c r="AR61" s="325">
        <f t="shared" si="2"/>
        <v>0</v>
      </c>
      <c r="AS61" s="132"/>
      <c r="AT61" s="132"/>
      <c r="AU61" s="132"/>
      <c r="AV61" s="132"/>
      <c r="AW61" s="132"/>
      <c r="AX61" s="78"/>
      <c r="AY61" s="78"/>
    </row>
    <row r="62" spans="1:51" x14ac:dyDescent="0.25">
      <c r="A62" s="76"/>
      <c r="B62" s="76">
        <v>566</v>
      </c>
      <c r="C62" s="76" t="s">
        <v>217</v>
      </c>
      <c r="D62" s="77" t="s">
        <v>533</v>
      </c>
      <c r="E62" s="137"/>
      <c r="F62" s="137"/>
      <c r="G62" s="137"/>
      <c r="H62" s="137"/>
      <c r="I62" s="137"/>
      <c r="J62" s="137"/>
      <c r="K62" s="135"/>
      <c r="L62" s="135"/>
      <c r="M62" s="135">
        <v>190.05</v>
      </c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3"/>
      <c r="AG62" s="133"/>
      <c r="AH62" s="133"/>
      <c r="AI62" s="133"/>
      <c r="AJ62" s="133"/>
      <c r="AK62" s="133"/>
      <c r="AL62" s="133"/>
      <c r="AM62" s="133"/>
      <c r="AN62" s="133"/>
      <c r="AO62" s="131"/>
      <c r="AP62" s="131"/>
      <c r="AQ62" s="131">
        <f t="shared" si="1"/>
        <v>190.05</v>
      </c>
      <c r="AR62" s="325"/>
      <c r="AS62" s="132"/>
      <c r="AT62" s="132"/>
      <c r="AU62" s="132"/>
      <c r="AV62" s="132"/>
      <c r="AW62" s="132"/>
      <c r="AX62" s="78"/>
      <c r="AY62" s="78"/>
    </row>
    <row r="63" spans="1:51" x14ac:dyDescent="0.25">
      <c r="A63" s="76">
        <v>61</v>
      </c>
      <c r="B63" s="76">
        <v>554</v>
      </c>
      <c r="C63" s="76" t="s">
        <v>217</v>
      </c>
      <c r="D63" s="77" t="s">
        <v>488</v>
      </c>
      <c r="E63" s="137"/>
      <c r="F63" s="137"/>
      <c r="G63" s="137"/>
      <c r="H63" s="137"/>
      <c r="I63" s="137"/>
      <c r="J63" s="137"/>
      <c r="K63" s="135"/>
      <c r="L63" s="135"/>
      <c r="M63" s="135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3"/>
      <c r="AG63" s="133">
        <v>2708.8159999999998</v>
      </c>
      <c r="AH63" s="133"/>
      <c r="AI63" s="133"/>
      <c r="AJ63" s="133"/>
      <c r="AK63" s="133"/>
      <c r="AL63" s="133"/>
      <c r="AM63" s="133"/>
      <c r="AN63" s="133"/>
      <c r="AO63" s="131">
        <f t="shared" si="3"/>
        <v>0</v>
      </c>
      <c r="AP63" s="131">
        <f t="shared" si="1"/>
        <v>2708.8159999999998</v>
      </c>
      <c r="AQ63" s="131">
        <f t="shared" si="1"/>
        <v>0</v>
      </c>
      <c r="AR63" s="325">
        <f t="shared" si="2"/>
        <v>0</v>
      </c>
      <c r="AS63" s="132"/>
      <c r="AT63" s="132"/>
      <c r="AU63" s="132"/>
      <c r="AV63" s="132"/>
      <c r="AW63" s="132"/>
      <c r="AX63" s="78"/>
      <c r="AY63" s="78">
        <v>5328</v>
      </c>
    </row>
    <row r="64" spans="1:51" s="224" customFormat="1" x14ac:dyDescent="0.25">
      <c r="A64" s="76">
        <v>62</v>
      </c>
      <c r="B64" s="220"/>
      <c r="C64" s="220"/>
      <c r="D64" s="221" t="s">
        <v>257</v>
      </c>
      <c r="E64" s="222">
        <f t="shared" ref="E64:AQ64" si="4">SUM(E5:E63)</f>
        <v>124278</v>
      </c>
      <c r="F64" s="222">
        <f t="shared" si="4"/>
        <v>142470.552</v>
      </c>
      <c r="G64" s="512">
        <f t="shared" si="4"/>
        <v>54118.001999999993</v>
      </c>
      <c r="H64" s="222">
        <f t="shared" si="4"/>
        <v>17867.8</v>
      </c>
      <c r="I64" s="222">
        <f t="shared" si="4"/>
        <v>21416.148000000001</v>
      </c>
      <c r="J64" s="512">
        <f t="shared" si="4"/>
        <v>6589.1819999999998</v>
      </c>
      <c r="K64" s="222">
        <f t="shared" si="4"/>
        <v>161053.70000000001</v>
      </c>
      <c r="L64" s="222">
        <f t="shared" si="4"/>
        <v>165750.35999999999</v>
      </c>
      <c r="M64" s="512">
        <f t="shared" si="4"/>
        <v>61345.098000000005</v>
      </c>
      <c r="N64" s="222">
        <f t="shared" si="4"/>
        <v>5400</v>
      </c>
      <c r="O64" s="222">
        <f t="shared" si="4"/>
        <v>6107.78</v>
      </c>
      <c r="P64" s="512">
        <f t="shared" si="4"/>
        <v>1546.21</v>
      </c>
      <c r="Q64" s="222">
        <f t="shared" si="4"/>
        <v>26992.1</v>
      </c>
      <c r="R64" s="222">
        <f t="shared" si="4"/>
        <v>29712.1</v>
      </c>
      <c r="S64" s="512">
        <f t="shared" si="4"/>
        <v>14217.283000000001</v>
      </c>
      <c r="T64" s="222">
        <f t="shared" si="4"/>
        <v>7378</v>
      </c>
      <c r="U64" s="222">
        <f t="shared" si="4"/>
        <v>7378</v>
      </c>
      <c r="V64" s="512">
        <f t="shared" si="4"/>
        <v>4192.3640000000005</v>
      </c>
      <c r="W64" s="222">
        <f t="shared" si="4"/>
        <v>0</v>
      </c>
      <c r="X64" s="222">
        <f t="shared" si="4"/>
        <v>0</v>
      </c>
      <c r="Y64" s="222">
        <f t="shared" si="4"/>
        <v>0</v>
      </c>
      <c r="Z64" s="222">
        <f t="shared" si="4"/>
        <v>0</v>
      </c>
      <c r="AA64" s="222">
        <f t="shared" si="4"/>
        <v>0</v>
      </c>
      <c r="AB64" s="222">
        <f t="shared" si="4"/>
        <v>0</v>
      </c>
      <c r="AC64" s="222">
        <f t="shared" si="4"/>
        <v>622181</v>
      </c>
      <c r="AD64" s="222">
        <f t="shared" si="4"/>
        <v>612943.66599999997</v>
      </c>
      <c r="AE64" s="512">
        <f t="shared" si="4"/>
        <v>3074.9589999999998</v>
      </c>
      <c r="AF64" s="222">
        <f t="shared" si="4"/>
        <v>22643</v>
      </c>
      <c r="AG64" s="222">
        <f t="shared" si="4"/>
        <v>26870.351999999999</v>
      </c>
      <c r="AH64" s="512">
        <f t="shared" si="4"/>
        <v>22845.377</v>
      </c>
      <c r="AI64" s="222">
        <f t="shared" si="4"/>
        <v>26106.298999999999</v>
      </c>
      <c r="AJ64" s="222">
        <f t="shared" si="4"/>
        <v>22961.960999999999</v>
      </c>
      <c r="AK64" s="222">
        <f t="shared" si="4"/>
        <v>0</v>
      </c>
      <c r="AL64" s="222">
        <f t="shared" si="4"/>
        <v>10927.733</v>
      </c>
      <c r="AM64" s="222">
        <f t="shared" si="4"/>
        <v>10927.733</v>
      </c>
      <c r="AN64" s="512">
        <f t="shared" si="4"/>
        <v>10927.733</v>
      </c>
      <c r="AO64" s="222">
        <f t="shared" si="4"/>
        <v>1024827.6319999999</v>
      </c>
      <c r="AP64" s="222">
        <f t="shared" si="4"/>
        <v>1046538.652</v>
      </c>
      <c r="AQ64" s="512">
        <f t="shared" si="4"/>
        <v>178856.20799999998</v>
      </c>
      <c r="AR64" s="325">
        <f t="shared" si="2"/>
        <v>0.17090262997758823</v>
      </c>
      <c r="AS64" s="222">
        <f>SUM(AS5:AS63)</f>
        <v>0</v>
      </c>
      <c r="AT64" s="222"/>
      <c r="AU64" s="222"/>
      <c r="AV64" s="222"/>
      <c r="AW64" s="222"/>
      <c r="AX64" s="223"/>
      <c r="AY64" s="223"/>
    </row>
    <row r="65" spans="1:51" ht="15.75" x14ac:dyDescent="0.25">
      <c r="A65" s="76">
        <v>63</v>
      </c>
      <c r="B65" s="76"/>
      <c r="C65" s="76"/>
      <c r="D65" s="99" t="s">
        <v>357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325"/>
      <c r="AS65" s="131"/>
      <c r="AT65" s="131"/>
      <c r="AU65" s="131"/>
      <c r="AV65" s="131"/>
      <c r="AW65" s="131"/>
      <c r="AX65" s="177"/>
      <c r="AY65" s="177"/>
    </row>
    <row r="66" spans="1:51" ht="15.75" x14ac:dyDescent="0.25">
      <c r="A66" s="76">
        <v>64</v>
      </c>
      <c r="B66" s="76"/>
      <c r="C66" s="96"/>
      <c r="D66" s="183" t="s">
        <v>358</v>
      </c>
      <c r="E66" s="182">
        <v>1</v>
      </c>
      <c r="F66" s="182">
        <v>1</v>
      </c>
      <c r="G66" s="489">
        <v>1</v>
      </c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325"/>
      <c r="AS66" s="180"/>
      <c r="AT66" s="180"/>
      <c r="AU66" s="180"/>
      <c r="AV66" s="180"/>
      <c r="AW66" s="180"/>
      <c r="AX66" s="181"/>
      <c r="AY66" s="181"/>
    </row>
    <row r="67" spans="1:51" ht="15.75" x14ac:dyDescent="0.25">
      <c r="A67" s="76">
        <v>65</v>
      </c>
      <c r="B67" s="76"/>
      <c r="C67" s="96"/>
      <c r="D67" s="183" t="s">
        <v>359</v>
      </c>
      <c r="E67" s="182">
        <v>6</v>
      </c>
      <c r="F67" s="182">
        <v>6</v>
      </c>
      <c r="G67" s="489">
        <v>6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325"/>
      <c r="AS67" s="180"/>
      <c r="AT67" s="180"/>
      <c r="AU67" s="180"/>
      <c r="AV67" s="180"/>
      <c r="AW67" s="180"/>
      <c r="AX67" s="181"/>
      <c r="AY67" s="181"/>
    </row>
    <row r="68" spans="1:51" ht="15.75" x14ac:dyDescent="0.25">
      <c r="A68" s="76">
        <v>66</v>
      </c>
      <c r="B68" s="76"/>
      <c r="C68" s="96"/>
      <c r="D68" s="183" t="s">
        <v>360</v>
      </c>
      <c r="E68" s="182">
        <v>2</v>
      </c>
      <c r="F68" s="182">
        <v>2</v>
      </c>
      <c r="G68" s="489">
        <v>2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325"/>
      <c r="AS68" s="180"/>
      <c r="AT68" s="180"/>
      <c r="AU68" s="180"/>
      <c r="AV68" s="180"/>
      <c r="AW68" s="180"/>
      <c r="AX68" s="181"/>
      <c r="AY68" s="181"/>
    </row>
    <row r="69" spans="1:51" ht="15.75" x14ac:dyDescent="0.25">
      <c r="A69" s="76">
        <v>67</v>
      </c>
      <c r="B69" s="76"/>
      <c r="C69" s="96"/>
      <c r="D69" s="183" t="s">
        <v>361</v>
      </c>
      <c r="E69" s="182">
        <v>60</v>
      </c>
      <c r="F69" s="182">
        <v>60</v>
      </c>
      <c r="G69" s="489">
        <v>78.95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325"/>
      <c r="AS69" s="180"/>
      <c r="AT69" s="180"/>
      <c r="AU69" s="180"/>
      <c r="AV69" s="180"/>
      <c r="AW69" s="180"/>
      <c r="AX69" s="181"/>
      <c r="AY69" s="181"/>
    </row>
    <row r="70" spans="1:51" s="107" customFormat="1" ht="15.75" x14ac:dyDescent="0.25">
      <c r="A70" s="76">
        <v>68</v>
      </c>
      <c r="B70" s="76"/>
      <c r="C70" s="178"/>
      <c r="D70" s="184" t="s">
        <v>195</v>
      </c>
      <c r="E70" s="185">
        <f>SUM(E66:E69)</f>
        <v>69</v>
      </c>
      <c r="F70" s="185">
        <f>SUM(F66:F69)</f>
        <v>69</v>
      </c>
      <c r="G70" s="490">
        <f>SUM(G66:G69)</f>
        <v>87.95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325"/>
      <c r="AS70" s="131"/>
      <c r="AT70" s="131"/>
      <c r="AU70" s="131"/>
      <c r="AV70" s="131"/>
      <c r="AW70" s="131"/>
      <c r="AX70" s="177"/>
      <c r="AY70" s="177"/>
    </row>
    <row r="71" spans="1:51" ht="15.75" x14ac:dyDescent="0.25">
      <c r="A71" s="76">
        <v>69</v>
      </c>
      <c r="B71" s="76"/>
      <c r="C71" s="96"/>
      <c r="D71" s="179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325"/>
      <c r="AS71" s="180"/>
      <c r="AT71" s="180"/>
      <c r="AU71" s="180"/>
      <c r="AV71" s="180"/>
      <c r="AW71" s="180"/>
      <c r="AX71" s="181"/>
      <c r="AY71" s="181"/>
    </row>
    <row r="72" spans="1:51" x14ac:dyDescent="0.25">
      <c r="A72" s="76">
        <v>70</v>
      </c>
      <c r="B72" s="76"/>
      <c r="C72" s="76"/>
      <c r="D72" s="103" t="s">
        <v>242</v>
      </c>
      <c r="E72" s="136">
        <f t="shared" ref="E72:AQ72" si="5">SUMIF($C5:$C63,"kötelező",E5:E63)</f>
        <v>102010</v>
      </c>
      <c r="F72" s="136">
        <f t="shared" si="5"/>
        <v>102542.552</v>
      </c>
      <c r="G72" s="136">
        <f t="shared" si="5"/>
        <v>51694.621999999996</v>
      </c>
      <c r="H72" s="136">
        <f t="shared" si="5"/>
        <v>12407.8</v>
      </c>
      <c r="I72" s="136">
        <f t="shared" si="5"/>
        <v>12511.647999999999</v>
      </c>
      <c r="J72" s="136">
        <f t="shared" si="5"/>
        <v>6201.402</v>
      </c>
      <c r="K72" s="136">
        <f t="shared" si="5"/>
        <v>93623.7</v>
      </c>
      <c r="L72" s="136">
        <f t="shared" si="5"/>
        <v>94468.359999999986</v>
      </c>
      <c r="M72" s="136">
        <f t="shared" si="5"/>
        <v>40814.1</v>
      </c>
      <c r="N72" s="136">
        <f t="shared" si="5"/>
        <v>2000</v>
      </c>
      <c r="O72" s="136">
        <f t="shared" si="5"/>
        <v>2707.7799999999997</v>
      </c>
      <c r="P72" s="136">
        <f t="shared" si="5"/>
        <v>722.4</v>
      </c>
      <c r="Q72" s="136">
        <f t="shared" si="5"/>
        <v>22742.1</v>
      </c>
      <c r="R72" s="136">
        <f t="shared" si="5"/>
        <v>25262.1</v>
      </c>
      <c r="S72" s="136">
        <f t="shared" si="5"/>
        <v>11417.283000000001</v>
      </c>
      <c r="T72" s="136">
        <f t="shared" si="5"/>
        <v>5903</v>
      </c>
      <c r="U72" s="136">
        <f t="shared" si="5"/>
        <v>5903</v>
      </c>
      <c r="V72" s="136">
        <f t="shared" si="5"/>
        <v>3603.3320000000003</v>
      </c>
      <c r="W72" s="136">
        <f t="shared" si="5"/>
        <v>0</v>
      </c>
      <c r="X72" s="136">
        <f t="shared" si="5"/>
        <v>0</v>
      </c>
      <c r="Y72" s="136">
        <f t="shared" si="5"/>
        <v>0</v>
      </c>
      <c r="Z72" s="136">
        <f t="shared" si="5"/>
        <v>0</v>
      </c>
      <c r="AA72" s="136">
        <f t="shared" si="5"/>
        <v>0</v>
      </c>
      <c r="AB72" s="136">
        <f t="shared" si="5"/>
        <v>0</v>
      </c>
      <c r="AC72" s="136">
        <f t="shared" si="5"/>
        <v>15259</v>
      </c>
      <c r="AD72" s="136">
        <f t="shared" si="5"/>
        <v>15509</v>
      </c>
      <c r="AE72" s="136">
        <f t="shared" si="5"/>
        <v>3074.9589999999998</v>
      </c>
      <c r="AF72" s="136">
        <f t="shared" si="5"/>
        <v>22643</v>
      </c>
      <c r="AG72" s="136">
        <f t="shared" si="5"/>
        <v>24161.536</v>
      </c>
      <c r="AH72" s="136">
        <f t="shared" si="5"/>
        <v>22845.377</v>
      </c>
      <c r="AI72" s="136">
        <f t="shared" si="5"/>
        <v>3829</v>
      </c>
      <c r="AJ72" s="136">
        <f t="shared" si="5"/>
        <v>4343.6189999999997</v>
      </c>
      <c r="AK72" s="136">
        <f t="shared" si="5"/>
        <v>0</v>
      </c>
      <c r="AL72" s="136">
        <f t="shared" si="5"/>
        <v>10927.733</v>
      </c>
      <c r="AM72" s="136">
        <f t="shared" si="5"/>
        <v>10927.733</v>
      </c>
      <c r="AN72" s="136">
        <f t="shared" si="5"/>
        <v>10927.733</v>
      </c>
      <c r="AO72" s="136">
        <f t="shared" si="5"/>
        <v>291345.33299999998</v>
      </c>
      <c r="AP72" s="136">
        <f t="shared" si="5"/>
        <v>298337.32800000004</v>
      </c>
      <c r="AQ72" s="136">
        <f t="shared" si="5"/>
        <v>151301.20799999998</v>
      </c>
      <c r="AR72" s="325">
        <f t="shared" ref="AR72:AR91" si="6">AQ72/AP72</f>
        <v>0.50714809646615844</v>
      </c>
      <c r="AS72" s="132"/>
      <c r="AT72" s="132"/>
      <c r="AU72" s="132"/>
      <c r="AV72" s="132"/>
      <c r="AW72" s="132"/>
      <c r="AX72" s="104"/>
      <c r="AY72" s="104"/>
    </row>
    <row r="73" spans="1:51" x14ac:dyDescent="0.25">
      <c r="A73" s="76">
        <v>71</v>
      </c>
      <c r="B73" s="76"/>
      <c r="C73" s="76"/>
      <c r="D73" s="103" t="s">
        <v>243</v>
      </c>
      <c r="E73" s="136">
        <f t="shared" ref="E73:AQ73" si="7">SUMIF($C5:$C63,"nem kötelező",E5:E63)</f>
        <v>22268</v>
      </c>
      <c r="F73" s="136">
        <f t="shared" si="7"/>
        <v>39928</v>
      </c>
      <c r="G73" s="136">
        <f t="shared" si="7"/>
        <v>2423.38</v>
      </c>
      <c r="H73" s="136">
        <f t="shared" si="7"/>
        <v>5460</v>
      </c>
      <c r="I73" s="136">
        <f t="shared" si="7"/>
        <v>8904.5</v>
      </c>
      <c r="J73" s="136">
        <f t="shared" si="7"/>
        <v>387.78</v>
      </c>
      <c r="K73" s="136">
        <f t="shared" si="7"/>
        <v>67430</v>
      </c>
      <c r="L73" s="136">
        <f t="shared" si="7"/>
        <v>71282</v>
      </c>
      <c r="M73" s="136">
        <f t="shared" si="7"/>
        <v>20530.998</v>
      </c>
      <c r="N73" s="136">
        <f t="shared" si="7"/>
        <v>3400</v>
      </c>
      <c r="O73" s="136">
        <f t="shared" si="7"/>
        <v>3400</v>
      </c>
      <c r="P73" s="136">
        <f t="shared" si="7"/>
        <v>823.81</v>
      </c>
      <c r="Q73" s="136">
        <f t="shared" si="7"/>
        <v>4250</v>
      </c>
      <c r="R73" s="136">
        <f t="shared" si="7"/>
        <v>4450</v>
      </c>
      <c r="S73" s="136">
        <f t="shared" si="7"/>
        <v>2800</v>
      </c>
      <c r="T73" s="136">
        <f t="shared" si="7"/>
        <v>1475</v>
      </c>
      <c r="U73" s="136">
        <f t="shared" si="7"/>
        <v>1475</v>
      </c>
      <c r="V73" s="136">
        <f t="shared" si="7"/>
        <v>589.03199999999993</v>
      </c>
      <c r="W73" s="136">
        <f t="shared" si="7"/>
        <v>0</v>
      </c>
      <c r="X73" s="136">
        <f t="shared" si="7"/>
        <v>0</v>
      </c>
      <c r="Y73" s="136">
        <f t="shared" si="7"/>
        <v>0</v>
      </c>
      <c r="Z73" s="136">
        <f t="shared" si="7"/>
        <v>0</v>
      </c>
      <c r="AA73" s="136">
        <f t="shared" si="7"/>
        <v>0</v>
      </c>
      <c r="AB73" s="136">
        <f t="shared" si="7"/>
        <v>0</v>
      </c>
      <c r="AC73" s="136">
        <f t="shared" si="7"/>
        <v>606922</v>
      </c>
      <c r="AD73" s="136">
        <f t="shared" si="7"/>
        <v>597434.66599999997</v>
      </c>
      <c r="AE73" s="136">
        <f t="shared" si="7"/>
        <v>0</v>
      </c>
      <c r="AF73" s="136">
        <f t="shared" si="7"/>
        <v>0</v>
      </c>
      <c r="AG73" s="136">
        <f t="shared" si="7"/>
        <v>2708.8159999999998</v>
      </c>
      <c r="AH73" s="136">
        <f t="shared" si="7"/>
        <v>0</v>
      </c>
      <c r="AI73" s="136">
        <f t="shared" si="7"/>
        <v>22277.298999999999</v>
      </c>
      <c r="AJ73" s="136">
        <f t="shared" si="7"/>
        <v>18618.342000000001</v>
      </c>
      <c r="AK73" s="136">
        <f t="shared" si="7"/>
        <v>0</v>
      </c>
      <c r="AL73" s="136">
        <f t="shared" si="7"/>
        <v>0</v>
      </c>
      <c r="AM73" s="136">
        <f t="shared" si="7"/>
        <v>0</v>
      </c>
      <c r="AN73" s="136">
        <f t="shared" si="7"/>
        <v>0</v>
      </c>
      <c r="AO73" s="136">
        <f t="shared" si="7"/>
        <v>733482.29900000012</v>
      </c>
      <c r="AP73" s="136">
        <f t="shared" si="7"/>
        <v>748201.32400000002</v>
      </c>
      <c r="AQ73" s="136">
        <f t="shared" si="7"/>
        <v>27555.000000000004</v>
      </c>
      <c r="AR73" s="325">
        <f t="shared" si="6"/>
        <v>3.6828322960839883E-2</v>
      </c>
      <c r="AS73" s="136">
        <f>SUMIF($C5:$C63,"nem kötelező",AS5:AS63)</f>
        <v>0</v>
      </c>
      <c r="AT73" s="136"/>
      <c r="AU73" s="136"/>
      <c r="AV73" s="136"/>
      <c r="AW73" s="132"/>
      <c r="AX73" s="104"/>
      <c r="AY73" s="104"/>
    </row>
    <row r="74" spans="1:51" s="107" customFormat="1" x14ac:dyDescent="0.25">
      <c r="A74" s="76">
        <v>72</v>
      </c>
      <c r="B74" s="76"/>
      <c r="C74" s="105"/>
      <c r="D74" s="106" t="s">
        <v>319</v>
      </c>
      <c r="E74" s="138">
        <f>SUM(E75:E76)</f>
        <v>58457</v>
      </c>
      <c r="F74" s="138">
        <f>SUM(F75:F76)</f>
        <v>59830.5</v>
      </c>
      <c r="G74" s="138">
        <f>SUM(G75:G76)</f>
        <v>28719.806</v>
      </c>
      <c r="H74" s="138">
        <f t="shared" ref="H74:AU74" si="8">SUM(H75:H76)</f>
        <v>11630</v>
      </c>
      <c r="I74" s="138">
        <f t="shared" si="8"/>
        <v>11894.739</v>
      </c>
      <c r="J74" s="138">
        <f t="shared" si="8"/>
        <v>5361.4009999999998</v>
      </c>
      <c r="K74" s="138">
        <f t="shared" si="8"/>
        <v>10495</v>
      </c>
      <c r="L74" s="138">
        <f t="shared" si="8"/>
        <v>10591.824000000001</v>
      </c>
      <c r="M74" s="138">
        <f t="shared" si="8"/>
        <v>4734.6130000000003</v>
      </c>
      <c r="N74" s="138">
        <f t="shared" si="8"/>
        <v>0</v>
      </c>
      <c r="O74" s="138">
        <f t="shared" si="8"/>
        <v>0</v>
      </c>
      <c r="P74" s="138">
        <f t="shared" si="8"/>
        <v>0</v>
      </c>
      <c r="Q74" s="138">
        <f t="shared" si="8"/>
        <v>0</v>
      </c>
      <c r="R74" s="138">
        <f t="shared" si="8"/>
        <v>0</v>
      </c>
      <c r="S74" s="138">
        <f t="shared" si="8"/>
        <v>0</v>
      </c>
      <c r="T74" s="138">
        <f t="shared" si="8"/>
        <v>0</v>
      </c>
      <c r="U74" s="138">
        <f t="shared" si="8"/>
        <v>0</v>
      </c>
      <c r="V74" s="138">
        <f t="shared" si="8"/>
        <v>0</v>
      </c>
      <c r="W74" s="138">
        <f t="shared" si="8"/>
        <v>0</v>
      </c>
      <c r="X74" s="138">
        <f t="shared" si="8"/>
        <v>0</v>
      </c>
      <c r="Y74" s="138">
        <f t="shared" si="8"/>
        <v>0</v>
      </c>
      <c r="Z74" s="138">
        <v>0</v>
      </c>
      <c r="AA74" s="138">
        <v>0</v>
      </c>
      <c r="AB74" s="138">
        <v>0</v>
      </c>
      <c r="AC74" s="138">
        <f t="shared" si="8"/>
        <v>127</v>
      </c>
      <c r="AD74" s="138">
        <f t="shared" si="8"/>
        <v>147</v>
      </c>
      <c r="AE74" s="138">
        <f t="shared" si="8"/>
        <v>130.06899999999999</v>
      </c>
      <c r="AF74" s="138">
        <f t="shared" si="8"/>
        <v>0</v>
      </c>
      <c r="AG74" s="138">
        <f t="shared" si="8"/>
        <v>0</v>
      </c>
      <c r="AH74" s="138">
        <f t="shared" si="8"/>
        <v>0</v>
      </c>
      <c r="AI74" s="138">
        <f t="shared" si="8"/>
        <v>0</v>
      </c>
      <c r="AJ74" s="138">
        <f t="shared" si="8"/>
        <v>0</v>
      </c>
      <c r="AK74" s="138">
        <f t="shared" si="8"/>
        <v>0</v>
      </c>
      <c r="AL74" s="138">
        <f t="shared" si="8"/>
        <v>0</v>
      </c>
      <c r="AM74" s="138">
        <f t="shared" si="8"/>
        <v>0</v>
      </c>
      <c r="AN74" s="138">
        <f t="shared" si="8"/>
        <v>0</v>
      </c>
      <c r="AO74" s="138">
        <f>SUM(AO75:AO76)</f>
        <v>80709</v>
      </c>
      <c r="AP74" s="138">
        <f>SUM(AP75:AP76)</f>
        <v>82464.062999999995</v>
      </c>
      <c r="AQ74" s="138">
        <f>SUM(AQ75:AQ76)</f>
        <v>38945.889000000003</v>
      </c>
      <c r="AR74" s="325">
        <f t="shared" si="6"/>
        <v>0.47227710572543591</v>
      </c>
      <c r="AS74" s="138">
        <f t="shared" si="8"/>
        <v>80370.899999999994</v>
      </c>
      <c r="AT74" s="138">
        <f t="shared" si="8"/>
        <v>80600.899999999994</v>
      </c>
      <c r="AU74" s="138">
        <f t="shared" si="8"/>
        <v>38663.887000000002</v>
      </c>
      <c r="AV74" s="138">
        <v>38663.887000000002</v>
      </c>
      <c r="AW74" s="132"/>
      <c r="AX74" s="104"/>
      <c r="AY74" s="104"/>
    </row>
    <row r="75" spans="1:51" x14ac:dyDescent="0.25">
      <c r="A75" s="76">
        <v>73</v>
      </c>
      <c r="B75" s="76"/>
      <c r="C75" s="76" t="s">
        <v>211</v>
      </c>
      <c r="D75" s="108" t="s">
        <v>242</v>
      </c>
      <c r="E75" s="133">
        <v>52457</v>
      </c>
      <c r="F75" s="133">
        <v>53830.5</v>
      </c>
      <c r="G75" s="133">
        <v>25658.606</v>
      </c>
      <c r="H75" s="133">
        <v>10460</v>
      </c>
      <c r="I75" s="133">
        <v>10724.739</v>
      </c>
      <c r="J75" s="133">
        <v>4749.1610000000001</v>
      </c>
      <c r="K75" s="133">
        <v>10495</v>
      </c>
      <c r="L75" s="133">
        <v>10591.824000000001</v>
      </c>
      <c r="M75" s="133">
        <v>4734.6130000000003</v>
      </c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>
        <v>127</v>
      </c>
      <c r="AD75" s="133">
        <v>147</v>
      </c>
      <c r="AE75" s="133">
        <v>130.06899999999999</v>
      </c>
      <c r="AF75" s="133"/>
      <c r="AG75" s="133"/>
      <c r="AH75" s="133"/>
      <c r="AI75" s="133"/>
      <c r="AJ75" s="133"/>
      <c r="AK75" s="133"/>
      <c r="AL75" s="133"/>
      <c r="AM75" s="133"/>
      <c r="AN75" s="133"/>
      <c r="AO75" s="133">
        <f t="shared" ref="AO75:AQ76" si="9">E75+H75+K75+N75+Q75+T75+W75+Z75+AC75+AF75+AI75+AL75</f>
        <v>73539</v>
      </c>
      <c r="AP75" s="133">
        <f t="shared" si="9"/>
        <v>75294.062999999995</v>
      </c>
      <c r="AQ75" s="133">
        <f t="shared" si="9"/>
        <v>35272.449000000001</v>
      </c>
      <c r="AR75" s="325">
        <f t="shared" si="6"/>
        <v>0.46846255328258751</v>
      </c>
      <c r="AS75" s="139">
        <v>73200.899999999994</v>
      </c>
      <c r="AT75" s="139">
        <v>73430.899999999994</v>
      </c>
      <c r="AU75" s="139">
        <v>34989.447</v>
      </c>
      <c r="AV75" s="139"/>
      <c r="AW75" s="139"/>
      <c r="AX75" s="109"/>
      <c r="AY75" s="109"/>
    </row>
    <row r="76" spans="1:51" x14ac:dyDescent="0.25">
      <c r="A76" s="76">
        <v>74</v>
      </c>
      <c r="B76" s="76"/>
      <c r="C76" s="76" t="s">
        <v>310</v>
      </c>
      <c r="D76" s="108" t="s">
        <v>309</v>
      </c>
      <c r="E76" s="133">
        <v>6000</v>
      </c>
      <c r="F76" s="133">
        <v>6000</v>
      </c>
      <c r="G76" s="133">
        <v>3061.2</v>
      </c>
      <c r="H76" s="133">
        <v>1170</v>
      </c>
      <c r="I76" s="133">
        <v>1170</v>
      </c>
      <c r="J76" s="133">
        <v>612.24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>
        <f t="shared" si="9"/>
        <v>7170</v>
      </c>
      <c r="AP76" s="133">
        <f t="shared" si="9"/>
        <v>7170</v>
      </c>
      <c r="AQ76" s="133">
        <f t="shared" si="9"/>
        <v>3673.4399999999996</v>
      </c>
      <c r="AR76" s="325">
        <f t="shared" si="6"/>
        <v>0.5123347280334728</v>
      </c>
      <c r="AS76" s="139">
        <v>7170</v>
      </c>
      <c r="AT76" s="139">
        <v>7170</v>
      </c>
      <c r="AU76" s="139">
        <v>3674.44</v>
      </c>
      <c r="AV76" s="139"/>
      <c r="AW76" s="139"/>
      <c r="AX76" s="109"/>
      <c r="AY76" s="109"/>
    </row>
    <row r="77" spans="1:51" s="107" customFormat="1" x14ac:dyDescent="0.25">
      <c r="A77" s="76">
        <v>75</v>
      </c>
      <c r="B77" s="76"/>
      <c r="C77" s="105"/>
      <c r="D77" s="106" t="s">
        <v>244</v>
      </c>
      <c r="E77" s="138">
        <f>SUM(E78:E79)</f>
        <v>76226</v>
      </c>
      <c r="F77" s="138">
        <f>SUM(F78:F79)</f>
        <v>76534.899999999994</v>
      </c>
      <c r="G77" s="138">
        <f>SUM(G78:G79)</f>
        <v>35513.027999999998</v>
      </c>
      <c r="H77" s="138">
        <f t="shared" ref="H77:AU77" si="10">SUM(H78:H79)</f>
        <v>14952</v>
      </c>
      <c r="I77" s="138">
        <f t="shared" si="10"/>
        <v>15009.5</v>
      </c>
      <c r="J77" s="138">
        <f t="shared" si="10"/>
        <v>7170.6509999999998</v>
      </c>
      <c r="K77" s="138">
        <f t="shared" si="10"/>
        <v>6263</v>
      </c>
      <c r="L77" s="138">
        <f t="shared" si="10"/>
        <v>6319</v>
      </c>
      <c r="M77" s="138">
        <f t="shared" si="10"/>
        <v>2155.7710000000002</v>
      </c>
      <c r="N77" s="138">
        <f t="shared" si="10"/>
        <v>0</v>
      </c>
      <c r="O77" s="138">
        <f t="shared" si="10"/>
        <v>0</v>
      </c>
      <c r="P77" s="138">
        <f t="shared" si="10"/>
        <v>0</v>
      </c>
      <c r="Q77" s="138">
        <f t="shared" si="10"/>
        <v>0</v>
      </c>
      <c r="R77" s="138">
        <f t="shared" si="10"/>
        <v>0</v>
      </c>
      <c r="S77" s="138">
        <f t="shared" si="10"/>
        <v>0</v>
      </c>
      <c r="T77" s="138">
        <f t="shared" si="10"/>
        <v>0</v>
      </c>
      <c r="U77" s="138">
        <f t="shared" si="10"/>
        <v>0</v>
      </c>
      <c r="V77" s="138">
        <f t="shared" si="10"/>
        <v>0</v>
      </c>
      <c r="W77" s="138">
        <f t="shared" si="10"/>
        <v>0</v>
      </c>
      <c r="X77" s="138">
        <f t="shared" si="10"/>
        <v>0</v>
      </c>
      <c r="Y77" s="138">
        <f t="shared" si="10"/>
        <v>0</v>
      </c>
      <c r="Z77" s="138">
        <f t="shared" si="10"/>
        <v>0</v>
      </c>
      <c r="AA77" s="138">
        <f t="shared" si="10"/>
        <v>0</v>
      </c>
      <c r="AB77" s="138">
        <f t="shared" si="10"/>
        <v>0</v>
      </c>
      <c r="AC77" s="138">
        <f t="shared" si="10"/>
        <v>127</v>
      </c>
      <c r="AD77" s="138">
        <f t="shared" si="10"/>
        <v>127</v>
      </c>
      <c r="AE77" s="138">
        <f t="shared" si="10"/>
        <v>0</v>
      </c>
      <c r="AF77" s="138">
        <f t="shared" si="10"/>
        <v>0</v>
      </c>
      <c r="AG77" s="138">
        <f t="shared" si="10"/>
        <v>0</v>
      </c>
      <c r="AH77" s="138">
        <f t="shared" si="10"/>
        <v>0</v>
      </c>
      <c r="AI77" s="138">
        <f t="shared" si="10"/>
        <v>0</v>
      </c>
      <c r="AJ77" s="138">
        <f t="shared" si="10"/>
        <v>0</v>
      </c>
      <c r="AK77" s="138">
        <f t="shared" si="10"/>
        <v>0</v>
      </c>
      <c r="AL77" s="138">
        <f t="shared" si="10"/>
        <v>0</v>
      </c>
      <c r="AM77" s="138">
        <f t="shared" si="10"/>
        <v>0</v>
      </c>
      <c r="AN77" s="138">
        <f t="shared" si="10"/>
        <v>0</v>
      </c>
      <c r="AO77" s="138">
        <f t="shared" si="10"/>
        <v>97568</v>
      </c>
      <c r="AP77" s="138">
        <f t="shared" si="10"/>
        <v>97990.399999999994</v>
      </c>
      <c r="AQ77" s="138">
        <f t="shared" si="10"/>
        <v>44839.45</v>
      </c>
      <c r="AR77" s="325">
        <f t="shared" si="6"/>
        <v>0.45759023332897919</v>
      </c>
      <c r="AS77" s="138">
        <f t="shared" si="10"/>
        <v>97262.9</v>
      </c>
      <c r="AT77" s="138">
        <f t="shared" si="10"/>
        <v>97685.3</v>
      </c>
      <c r="AU77" s="138">
        <f t="shared" si="10"/>
        <v>45022.675000000003</v>
      </c>
      <c r="AV77" s="138">
        <v>44320.974999999999</v>
      </c>
      <c r="AW77" s="132"/>
      <c r="AX77" s="104"/>
      <c r="AY77" s="104"/>
    </row>
    <row r="78" spans="1:51" x14ac:dyDescent="0.25">
      <c r="A78" s="76">
        <v>76</v>
      </c>
      <c r="B78" s="76"/>
      <c r="C78" s="76" t="s">
        <v>211</v>
      </c>
      <c r="D78" s="108" t="s">
        <v>242</v>
      </c>
      <c r="E78" s="133">
        <v>76101</v>
      </c>
      <c r="F78" s="133">
        <v>76409.899999999994</v>
      </c>
      <c r="G78" s="133">
        <v>35513.027999999998</v>
      </c>
      <c r="H78" s="133">
        <v>14932</v>
      </c>
      <c r="I78" s="133">
        <v>14989.5</v>
      </c>
      <c r="J78" s="133">
        <v>7170.6509999999998</v>
      </c>
      <c r="K78" s="133">
        <v>6238</v>
      </c>
      <c r="L78" s="133">
        <v>6294</v>
      </c>
      <c r="M78" s="133">
        <v>2155.7710000000002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>
        <v>127</v>
      </c>
      <c r="AD78" s="133">
        <v>127</v>
      </c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>
        <f t="shared" ref="AO78:AQ79" si="11">E78+H78+K78+N78+Q78+T78+W78+Z78+AC78+AF78+AI78+AL78</f>
        <v>97398</v>
      </c>
      <c r="AP78" s="133">
        <f t="shared" si="11"/>
        <v>97820.4</v>
      </c>
      <c r="AQ78" s="133">
        <f t="shared" si="11"/>
        <v>44839.45</v>
      </c>
      <c r="AR78" s="325">
        <f t="shared" si="6"/>
        <v>0.4583854696975273</v>
      </c>
      <c r="AS78" s="139">
        <v>97092.9</v>
      </c>
      <c r="AT78" s="139">
        <v>97515.3</v>
      </c>
      <c r="AU78" s="139">
        <v>45022.675000000003</v>
      </c>
      <c r="AV78" s="139"/>
      <c r="AW78" s="139"/>
      <c r="AX78" s="109"/>
      <c r="AY78" s="109"/>
    </row>
    <row r="79" spans="1:51" x14ac:dyDescent="0.25">
      <c r="A79" s="76">
        <v>77</v>
      </c>
      <c r="B79" s="76"/>
      <c r="C79" s="76" t="s">
        <v>217</v>
      </c>
      <c r="D79" s="108" t="s">
        <v>243</v>
      </c>
      <c r="E79" s="133">
        <v>125</v>
      </c>
      <c r="F79" s="133">
        <v>125</v>
      </c>
      <c r="G79" s="133"/>
      <c r="H79" s="133">
        <v>20</v>
      </c>
      <c r="I79" s="133">
        <v>20</v>
      </c>
      <c r="J79" s="133"/>
      <c r="K79" s="133">
        <v>25</v>
      </c>
      <c r="L79" s="133">
        <v>25</v>
      </c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>
        <f t="shared" si="11"/>
        <v>170</v>
      </c>
      <c r="AP79" s="133">
        <f t="shared" si="11"/>
        <v>170</v>
      </c>
      <c r="AQ79" s="133">
        <f t="shared" si="11"/>
        <v>0</v>
      </c>
      <c r="AR79" s="325">
        <f t="shared" si="6"/>
        <v>0</v>
      </c>
      <c r="AS79" s="139">
        <v>170</v>
      </c>
      <c r="AT79" s="139">
        <v>170</v>
      </c>
      <c r="AU79" s="139"/>
      <c r="AV79" s="139"/>
      <c r="AW79" s="139"/>
      <c r="AX79" s="109"/>
      <c r="AY79" s="109"/>
    </row>
    <row r="80" spans="1:51" s="107" customFormat="1" x14ac:dyDescent="0.25">
      <c r="A80" s="76">
        <v>78</v>
      </c>
      <c r="B80" s="76"/>
      <c r="C80" s="105"/>
      <c r="D80" s="106" t="s">
        <v>245</v>
      </c>
      <c r="E80" s="138">
        <f>SUM(E81:E82)</f>
        <v>81168</v>
      </c>
      <c r="F80" s="138">
        <f>SUM(F81:F82)</f>
        <v>92482.6</v>
      </c>
      <c r="G80" s="138">
        <f>SUM(G81:G82)</f>
        <v>43172.061000000002</v>
      </c>
      <c r="H80" s="138">
        <f t="shared" ref="H80:AU80" si="12">SUM(H81:H82)</f>
        <v>15783</v>
      </c>
      <c r="I80" s="138">
        <f t="shared" si="12"/>
        <v>17991.699000000001</v>
      </c>
      <c r="J80" s="138">
        <f t="shared" si="12"/>
        <v>8700.84</v>
      </c>
      <c r="K80" s="138">
        <f t="shared" si="12"/>
        <v>46957</v>
      </c>
      <c r="L80" s="138">
        <f t="shared" si="12"/>
        <v>46957</v>
      </c>
      <c r="M80" s="138">
        <f t="shared" si="12"/>
        <v>17027.705999999998</v>
      </c>
      <c r="N80" s="138">
        <f t="shared" si="12"/>
        <v>0</v>
      </c>
      <c r="O80" s="138">
        <f t="shared" si="12"/>
        <v>0</v>
      </c>
      <c r="P80" s="138">
        <f t="shared" si="12"/>
        <v>0</v>
      </c>
      <c r="Q80" s="138">
        <f t="shared" si="12"/>
        <v>120</v>
      </c>
      <c r="R80" s="138">
        <f t="shared" si="12"/>
        <v>120</v>
      </c>
      <c r="S80" s="138">
        <f t="shared" si="12"/>
        <v>70</v>
      </c>
      <c r="T80" s="138">
        <f t="shared" si="12"/>
        <v>0</v>
      </c>
      <c r="U80" s="138">
        <f t="shared" si="12"/>
        <v>0</v>
      </c>
      <c r="V80" s="138">
        <f t="shared" si="12"/>
        <v>0</v>
      </c>
      <c r="W80" s="138">
        <f t="shared" si="12"/>
        <v>0</v>
      </c>
      <c r="X80" s="138">
        <f t="shared" si="12"/>
        <v>0</v>
      </c>
      <c r="Y80" s="138">
        <f t="shared" si="12"/>
        <v>0</v>
      </c>
      <c r="Z80" s="138">
        <v>0</v>
      </c>
      <c r="AA80" s="138">
        <v>0</v>
      </c>
      <c r="AB80" s="138">
        <v>0</v>
      </c>
      <c r="AC80" s="138">
        <f t="shared" si="12"/>
        <v>127</v>
      </c>
      <c r="AD80" s="138">
        <f t="shared" si="12"/>
        <v>127</v>
      </c>
      <c r="AE80" s="138">
        <f t="shared" si="12"/>
        <v>11.9</v>
      </c>
      <c r="AF80" s="138">
        <f t="shared" si="12"/>
        <v>0</v>
      </c>
      <c r="AG80" s="138">
        <f t="shared" si="12"/>
        <v>0</v>
      </c>
      <c r="AH80" s="138">
        <f t="shared" si="12"/>
        <v>0</v>
      </c>
      <c r="AI80" s="138">
        <f t="shared" si="12"/>
        <v>0</v>
      </c>
      <c r="AJ80" s="138">
        <f t="shared" si="12"/>
        <v>0</v>
      </c>
      <c r="AK80" s="138">
        <f t="shared" si="12"/>
        <v>0</v>
      </c>
      <c r="AL80" s="138">
        <f t="shared" si="12"/>
        <v>0</v>
      </c>
      <c r="AM80" s="138">
        <f t="shared" si="12"/>
        <v>0</v>
      </c>
      <c r="AN80" s="138">
        <f t="shared" si="12"/>
        <v>0</v>
      </c>
      <c r="AO80" s="138">
        <f t="shared" si="12"/>
        <v>144155</v>
      </c>
      <c r="AP80" s="138">
        <f t="shared" si="12"/>
        <v>157678.299</v>
      </c>
      <c r="AQ80" s="138">
        <f t="shared" ref="AQ80" si="13">SUM(AQ81:AQ82)</f>
        <v>68982.507000000012</v>
      </c>
      <c r="AR80" s="325">
        <f t="shared" si="6"/>
        <v>0.43748890898423515</v>
      </c>
      <c r="AS80" s="138">
        <f t="shared" si="12"/>
        <v>110751</v>
      </c>
      <c r="AT80" s="138">
        <f t="shared" si="12"/>
        <v>123790.8</v>
      </c>
      <c r="AU80" s="138">
        <f t="shared" si="12"/>
        <v>55251.201000000001</v>
      </c>
      <c r="AV80" s="138">
        <v>55952.900999999998</v>
      </c>
      <c r="AW80" s="132"/>
      <c r="AX80" s="104"/>
      <c r="AY80" s="104"/>
    </row>
    <row r="81" spans="1:52" x14ac:dyDescent="0.25">
      <c r="A81" s="76">
        <v>79</v>
      </c>
      <c r="B81" s="76"/>
      <c r="C81" s="76" t="s">
        <v>211</v>
      </c>
      <c r="D81" s="108" t="s">
        <v>242</v>
      </c>
      <c r="E81" s="133">
        <v>31290</v>
      </c>
      <c r="F81" s="133">
        <v>36846</v>
      </c>
      <c r="G81" s="133">
        <v>17300.988000000001</v>
      </c>
      <c r="H81" s="133">
        <v>6095</v>
      </c>
      <c r="I81" s="133">
        <v>7181</v>
      </c>
      <c r="J81" s="133">
        <v>3497.2689999999998</v>
      </c>
      <c r="K81" s="133">
        <v>14365</v>
      </c>
      <c r="L81" s="133">
        <v>14365</v>
      </c>
      <c r="M81" s="133">
        <v>4933.0069999999996</v>
      </c>
      <c r="N81" s="133"/>
      <c r="O81" s="133"/>
      <c r="P81" s="133"/>
      <c r="Q81" s="133">
        <v>120</v>
      </c>
      <c r="R81" s="133">
        <v>120</v>
      </c>
      <c r="S81" s="133">
        <v>70</v>
      </c>
      <c r="T81" s="133"/>
      <c r="U81" s="133"/>
      <c r="V81" s="133"/>
      <c r="W81" s="133"/>
      <c r="X81" s="133"/>
      <c r="Y81" s="133"/>
      <c r="Z81" s="133"/>
      <c r="AA81" s="133"/>
      <c r="AB81" s="133"/>
      <c r="AC81" s="133">
        <v>127</v>
      </c>
      <c r="AD81" s="133"/>
      <c r="AE81" s="133">
        <v>11.9</v>
      </c>
      <c r="AF81" s="133"/>
      <c r="AG81" s="133"/>
      <c r="AH81" s="133"/>
      <c r="AI81" s="133"/>
      <c r="AJ81" s="133"/>
      <c r="AK81" s="133"/>
      <c r="AL81" s="133"/>
      <c r="AM81" s="133"/>
      <c r="AN81" s="133"/>
      <c r="AO81" s="133">
        <f t="shared" ref="AO81:AQ82" si="14">E81+H81+K81+N81+Q81+T81+W81+Z81+AC81+AF81+AI81+AL81</f>
        <v>51997</v>
      </c>
      <c r="AP81" s="133">
        <f t="shared" si="14"/>
        <v>58512</v>
      </c>
      <c r="AQ81" s="133">
        <f t="shared" si="14"/>
        <v>25813.164000000004</v>
      </c>
      <c r="AR81" s="325">
        <f t="shared" si="6"/>
        <v>0.44116017227235449</v>
      </c>
      <c r="AS81" s="139">
        <v>47013</v>
      </c>
      <c r="AT81" s="139">
        <v>53655</v>
      </c>
      <c r="AU81" s="139">
        <v>23361.208999999999</v>
      </c>
      <c r="AV81" s="139"/>
      <c r="AW81" s="139"/>
      <c r="AX81" s="109"/>
      <c r="AY81" s="109"/>
    </row>
    <row r="82" spans="1:52" x14ac:dyDescent="0.25">
      <c r="A82" s="76">
        <v>80</v>
      </c>
      <c r="B82" s="76"/>
      <c r="C82" s="76" t="s">
        <v>217</v>
      </c>
      <c r="D82" s="108" t="s">
        <v>243</v>
      </c>
      <c r="E82" s="133">
        <v>49878</v>
      </c>
      <c r="F82" s="133">
        <v>55636.6</v>
      </c>
      <c r="G82" s="133">
        <v>25871.073</v>
      </c>
      <c r="H82" s="133">
        <v>9688</v>
      </c>
      <c r="I82" s="133">
        <v>10810.699000000001</v>
      </c>
      <c r="J82" s="133">
        <v>5203.5709999999999</v>
      </c>
      <c r="K82" s="133">
        <v>32592</v>
      </c>
      <c r="L82" s="133">
        <v>32592</v>
      </c>
      <c r="M82" s="133">
        <v>12094.699000000001</v>
      </c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>
        <v>127</v>
      </c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>
        <f t="shared" si="14"/>
        <v>92158</v>
      </c>
      <c r="AP82" s="133">
        <f t="shared" si="14"/>
        <v>99166.298999999999</v>
      </c>
      <c r="AQ82" s="133">
        <f t="shared" si="14"/>
        <v>43169.343000000001</v>
      </c>
      <c r="AR82" s="325">
        <f t="shared" si="6"/>
        <v>0.43532271986877319</v>
      </c>
      <c r="AS82" s="139">
        <v>63738</v>
      </c>
      <c r="AT82" s="139">
        <v>70135.8</v>
      </c>
      <c r="AU82" s="139">
        <v>31889.991999999998</v>
      </c>
      <c r="AV82" s="139"/>
      <c r="AW82" s="139"/>
      <c r="AX82" s="109"/>
      <c r="AY82" s="109"/>
    </row>
    <row r="83" spans="1:52" s="107" customFormat="1" x14ac:dyDescent="0.25">
      <c r="A83" s="76">
        <v>81</v>
      </c>
      <c r="B83" s="76"/>
      <c r="C83" s="105"/>
      <c r="D83" s="106" t="s">
        <v>348</v>
      </c>
      <c r="E83" s="138">
        <f>SUM(E84:E85)</f>
        <v>11450</v>
      </c>
      <c r="F83" s="138">
        <f>SUM(F84:F85)</f>
        <v>12114.53</v>
      </c>
      <c r="G83" s="138">
        <f>SUM(G84:G85)</f>
        <v>4325.0940000000001</v>
      </c>
      <c r="H83" s="138">
        <f t="shared" ref="H83:AU83" si="15">SUM(H84:H85)</f>
        <v>2311</v>
      </c>
      <c r="I83" s="138">
        <f t="shared" si="15"/>
        <v>2440.5830000000001</v>
      </c>
      <c r="J83" s="138">
        <f t="shared" si="15"/>
        <v>738.62300000000005</v>
      </c>
      <c r="K83" s="138">
        <f t="shared" si="15"/>
        <v>32367</v>
      </c>
      <c r="L83" s="138">
        <f t="shared" si="15"/>
        <v>32561.203999999998</v>
      </c>
      <c r="M83" s="138">
        <f t="shared" si="15"/>
        <v>2679.6779999999999</v>
      </c>
      <c r="N83" s="138">
        <f t="shared" si="15"/>
        <v>0</v>
      </c>
      <c r="O83" s="138">
        <f t="shared" si="15"/>
        <v>0</v>
      </c>
      <c r="P83" s="138">
        <f t="shared" si="15"/>
        <v>0</v>
      </c>
      <c r="Q83" s="138">
        <f t="shared" si="15"/>
        <v>0</v>
      </c>
      <c r="R83" s="138">
        <f t="shared" si="15"/>
        <v>0</v>
      </c>
      <c r="S83" s="138">
        <f t="shared" si="15"/>
        <v>0</v>
      </c>
      <c r="T83" s="138">
        <f t="shared" si="15"/>
        <v>0</v>
      </c>
      <c r="U83" s="138">
        <f t="shared" si="15"/>
        <v>0</v>
      </c>
      <c r="V83" s="138">
        <f t="shared" si="15"/>
        <v>0</v>
      </c>
      <c r="W83" s="138">
        <f t="shared" si="15"/>
        <v>0</v>
      </c>
      <c r="X83" s="138">
        <f t="shared" si="15"/>
        <v>0</v>
      </c>
      <c r="Y83" s="138">
        <f t="shared" si="15"/>
        <v>0</v>
      </c>
      <c r="Z83" s="138">
        <f t="shared" si="15"/>
        <v>0</v>
      </c>
      <c r="AA83" s="138">
        <f t="shared" si="15"/>
        <v>0</v>
      </c>
      <c r="AB83" s="138">
        <f t="shared" si="15"/>
        <v>0</v>
      </c>
      <c r="AC83" s="138">
        <f t="shared" si="15"/>
        <v>127</v>
      </c>
      <c r="AD83" s="138">
        <f t="shared" si="15"/>
        <v>127</v>
      </c>
      <c r="AE83" s="138">
        <f t="shared" si="15"/>
        <v>112.714</v>
      </c>
      <c r="AF83" s="138">
        <f t="shared" si="15"/>
        <v>0</v>
      </c>
      <c r="AG83" s="138">
        <f t="shared" si="15"/>
        <v>0</v>
      </c>
      <c r="AH83" s="138">
        <f t="shared" si="15"/>
        <v>0</v>
      </c>
      <c r="AI83" s="138">
        <f t="shared" si="15"/>
        <v>0</v>
      </c>
      <c r="AJ83" s="138">
        <f t="shared" si="15"/>
        <v>0</v>
      </c>
      <c r="AK83" s="138">
        <f t="shared" si="15"/>
        <v>0</v>
      </c>
      <c r="AL83" s="138">
        <f t="shared" si="15"/>
        <v>0</v>
      </c>
      <c r="AM83" s="138">
        <f t="shared" si="15"/>
        <v>0</v>
      </c>
      <c r="AN83" s="138">
        <f t="shared" si="15"/>
        <v>0</v>
      </c>
      <c r="AO83" s="138">
        <f t="shared" si="15"/>
        <v>46255</v>
      </c>
      <c r="AP83" s="138">
        <f t="shared" si="15"/>
        <v>47243.317000000003</v>
      </c>
      <c r="AQ83" s="138">
        <f t="shared" ref="AQ83" si="16">SUM(AQ84:AQ85)</f>
        <v>7856.1090000000004</v>
      </c>
      <c r="AR83" s="325">
        <f t="shared" si="6"/>
        <v>0.16629037711302108</v>
      </c>
      <c r="AS83" s="138">
        <f t="shared" si="15"/>
        <v>23647.9</v>
      </c>
      <c r="AT83" s="138">
        <f t="shared" si="15"/>
        <v>24627.816999999999</v>
      </c>
      <c r="AU83" s="138">
        <f t="shared" si="15"/>
        <v>7317.2560000000003</v>
      </c>
      <c r="AV83" s="138">
        <v>7317.2560000000003</v>
      </c>
      <c r="AW83" s="138"/>
      <c r="AX83" s="104"/>
      <c r="AY83" s="104"/>
    </row>
    <row r="84" spans="1:52" x14ac:dyDescent="0.25">
      <c r="A84" s="76">
        <v>82</v>
      </c>
      <c r="B84" s="76"/>
      <c r="C84" s="76" t="s">
        <v>211</v>
      </c>
      <c r="D84" s="108" t="s">
        <v>242</v>
      </c>
      <c r="E84" s="133">
        <v>9919</v>
      </c>
      <c r="F84" s="133">
        <v>10583.53</v>
      </c>
      <c r="G84" s="133">
        <v>4325.0940000000001</v>
      </c>
      <c r="H84" s="133">
        <v>1784</v>
      </c>
      <c r="I84" s="133">
        <v>1913.5830000000001</v>
      </c>
      <c r="J84" s="133">
        <v>738.62300000000005</v>
      </c>
      <c r="K84" s="133">
        <v>4268</v>
      </c>
      <c r="L84" s="133">
        <v>4462.2039999999997</v>
      </c>
      <c r="M84" s="133">
        <v>2162.0439999999999</v>
      </c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>
        <v>127</v>
      </c>
      <c r="AD84" s="133">
        <v>127</v>
      </c>
      <c r="AE84" s="133">
        <v>112.714</v>
      </c>
      <c r="AF84" s="133"/>
      <c r="AG84" s="133"/>
      <c r="AH84" s="133"/>
      <c r="AI84" s="133"/>
      <c r="AJ84" s="133"/>
      <c r="AK84" s="133"/>
      <c r="AL84" s="133"/>
      <c r="AM84" s="133"/>
      <c r="AN84" s="133"/>
      <c r="AO84" s="133">
        <f t="shared" ref="AO84:AQ85" si="17">E84+H84+K84+N84+Q84+T84+W84+Z84+AC84+AF84+AI84+AL84</f>
        <v>16098</v>
      </c>
      <c r="AP84" s="133">
        <f t="shared" si="17"/>
        <v>17086.317000000003</v>
      </c>
      <c r="AQ84" s="133">
        <f t="shared" si="17"/>
        <v>7338.4750000000004</v>
      </c>
      <c r="AR84" s="325">
        <f t="shared" si="6"/>
        <v>0.42949425554963067</v>
      </c>
      <c r="AS84" s="139">
        <v>12763.9</v>
      </c>
      <c r="AT84" s="139">
        <v>13743.816999999999</v>
      </c>
      <c r="AU84" s="139">
        <v>6823.527</v>
      </c>
      <c r="AV84" s="139"/>
      <c r="AW84" s="139"/>
      <c r="AX84" s="109"/>
      <c r="AY84" s="109"/>
    </row>
    <row r="85" spans="1:52" x14ac:dyDescent="0.25">
      <c r="A85" s="76">
        <v>83</v>
      </c>
      <c r="B85" s="76"/>
      <c r="C85" s="76" t="s">
        <v>217</v>
      </c>
      <c r="D85" s="108" t="s">
        <v>243</v>
      </c>
      <c r="E85" s="133">
        <v>1531</v>
      </c>
      <c r="F85" s="133">
        <v>1531</v>
      </c>
      <c r="G85" s="133"/>
      <c r="H85" s="133">
        <v>527</v>
      </c>
      <c r="I85" s="133">
        <v>527</v>
      </c>
      <c r="J85" s="133"/>
      <c r="K85" s="133">
        <v>28099</v>
      </c>
      <c r="L85" s="133">
        <v>28099</v>
      </c>
      <c r="M85" s="133">
        <v>517.63400000000001</v>
      </c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>
        <f t="shared" si="17"/>
        <v>30157</v>
      </c>
      <c r="AP85" s="133">
        <f t="shared" si="17"/>
        <v>30157</v>
      </c>
      <c r="AQ85" s="133">
        <f t="shared" si="17"/>
        <v>517.63400000000001</v>
      </c>
      <c r="AR85" s="325">
        <f t="shared" si="6"/>
        <v>1.7164638392413039E-2</v>
      </c>
      <c r="AS85" s="139">
        <v>10884</v>
      </c>
      <c r="AT85" s="139">
        <v>10884</v>
      </c>
      <c r="AU85" s="139">
        <v>493.72899999999998</v>
      </c>
      <c r="AV85" s="139"/>
      <c r="AW85" s="139"/>
      <c r="AX85" s="109"/>
      <c r="AY85" s="109"/>
    </row>
    <row r="86" spans="1:52" s="107" customFormat="1" ht="15.75" x14ac:dyDescent="0.25">
      <c r="A86" s="76">
        <v>84</v>
      </c>
      <c r="B86" s="76"/>
      <c r="C86" s="105"/>
      <c r="D86" s="99" t="s">
        <v>246</v>
      </c>
      <c r="E86" s="138">
        <f>E64+E74+E77+E80+E83</f>
        <v>351579</v>
      </c>
      <c r="F86" s="138">
        <f>F64+F74+F77+F80+F83</f>
        <v>383433.08200000005</v>
      </c>
      <c r="G86" s="511">
        <f>G64+G74+G77+G80+G83</f>
        <v>165847.99100000001</v>
      </c>
      <c r="H86" s="138">
        <f t="shared" ref="H86:AQ86" si="18">H64+H74+H77+H80+H83</f>
        <v>62543.8</v>
      </c>
      <c r="I86" s="138">
        <f t="shared" si="18"/>
        <v>68752.669000000009</v>
      </c>
      <c r="J86" s="511">
        <f t="shared" si="18"/>
        <v>28560.696999999996</v>
      </c>
      <c r="K86" s="138">
        <f t="shared" si="18"/>
        <v>257135.7</v>
      </c>
      <c r="L86" s="138">
        <f t="shared" si="18"/>
        <v>262179.38799999998</v>
      </c>
      <c r="M86" s="138">
        <f t="shared" si="18"/>
        <v>87942.865999999995</v>
      </c>
      <c r="N86" s="138">
        <f t="shared" si="18"/>
        <v>5400</v>
      </c>
      <c r="O86" s="138">
        <f t="shared" si="18"/>
        <v>6107.78</v>
      </c>
      <c r="P86" s="138">
        <f t="shared" si="18"/>
        <v>1546.21</v>
      </c>
      <c r="Q86" s="138">
        <f t="shared" si="18"/>
        <v>27112.1</v>
      </c>
      <c r="R86" s="138">
        <f t="shared" si="18"/>
        <v>29832.1</v>
      </c>
      <c r="S86" s="138">
        <f t="shared" si="18"/>
        <v>14287.283000000001</v>
      </c>
      <c r="T86" s="138">
        <f t="shared" si="18"/>
        <v>7378</v>
      </c>
      <c r="U86" s="138">
        <f t="shared" si="18"/>
        <v>7378</v>
      </c>
      <c r="V86" s="138">
        <f t="shared" si="18"/>
        <v>4192.3640000000005</v>
      </c>
      <c r="W86" s="138">
        <f t="shared" si="18"/>
        <v>0</v>
      </c>
      <c r="X86" s="138">
        <f t="shared" si="18"/>
        <v>0</v>
      </c>
      <c r="Y86" s="138">
        <f t="shared" si="18"/>
        <v>0</v>
      </c>
      <c r="Z86" s="138">
        <f t="shared" si="18"/>
        <v>0</v>
      </c>
      <c r="AA86" s="138">
        <f t="shared" si="18"/>
        <v>0</v>
      </c>
      <c r="AB86" s="138">
        <f t="shared" si="18"/>
        <v>0</v>
      </c>
      <c r="AC86" s="138">
        <f t="shared" si="18"/>
        <v>622689</v>
      </c>
      <c r="AD86" s="138">
        <f t="shared" si="18"/>
        <v>613471.66599999997</v>
      </c>
      <c r="AE86" s="138">
        <f t="shared" si="18"/>
        <v>3329.6419999999998</v>
      </c>
      <c r="AF86" s="138">
        <f t="shared" si="18"/>
        <v>22643</v>
      </c>
      <c r="AG86" s="138">
        <f t="shared" si="18"/>
        <v>26870.351999999999</v>
      </c>
      <c r="AH86" s="138">
        <f t="shared" si="18"/>
        <v>22845.377</v>
      </c>
      <c r="AI86" s="138">
        <f t="shared" si="18"/>
        <v>26106.298999999999</v>
      </c>
      <c r="AJ86" s="138">
        <f t="shared" si="18"/>
        <v>22961.960999999999</v>
      </c>
      <c r="AK86" s="138">
        <f t="shared" si="18"/>
        <v>0</v>
      </c>
      <c r="AL86" s="138">
        <f t="shared" si="18"/>
        <v>10927.733</v>
      </c>
      <c r="AM86" s="138">
        <f t="shared" si="18"/>
        <v>10927.733</v>
      </c>
      <c r="AN86" s="138">
        <f t="shared" si="18"/>
        <v>10927.733</v>
      </c>
      <c r="AO86" s="138">
        <f t="shared" si="18"/>
        <v>1393514.6319999998</v>
      </c>
      <c r="AP86" s="138">
        <f t="shared" si="18"/>
        <v>1431914.7309999999</v>
      </c>
      <c r="AQ86" s="138">
        <f t="shared" si="18"/>
        <v>339480.163</v>
      </c>
      <c r="AR86" s="325">
        <f t="shared" si="6"/>
        <v>0.23708127002989818</v>
      </c>
      <c r="AS86" s="138">
        <f>AS64+AS74+AS77+AS80+AS83</f>
        <v>312032.7</v>
      </c>
      <c r="AT86" s="138">
        <f>AT64+AT74+AT77+AT80+AT83</f>
        <v>326704.81699999998</v>
      </c>
      <c r="AU86" s="138">
        <f>AU64+AU74+AU77+AU80+AU83</f>
        <v>146255.019</v>
      </c>
      <c r="AV86" s="511">
        <f>SUM(AV74:AV85)</f>
        <v>146255.01899999997</v>
      </c>
      <c r="AW86" s="138"/>
      <c r="AX86" s="110"/>
      <c r="AY86" s="110"/>
      <c r="AZ86" s="125"/>
    </row>
    <row r="87" spans="1:52" s="107" customFormat="1" ht="15.75" x14ac:dyDescent="0.25">
      <c r="A87" s="76">
        <v>85</v>
      </c>
      <c r="B87" s="76"/>
      <c r="C87" s="105"/>
      <c r="D87" s="99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325"/>
      <c r="AS87" s="132"/>
      <c r="AT87" s="132"/>
      <c r="AU87" s="132"/>
      <c r="AV87" s="132"/>
      <c r="AW87" s="132"/>
      <c r="AX87" s="104"/>
      <c r="AY87" s="104"/>
      <c r="AZ87" s="125"/>
    </row>
    <row r="88" spans="1:52" x14ac:dyDescent="0.25">
      <c r="A88" s="76">
        <v>86</v>
      </c>
      <c r="B88" s="76"/>
      <c r="C88" s="103"/>
      <c r="D88" s="103" t="s">
        <v>247</v>
      </c>
      <c r="E88" s="136">
        <f>E72+E75+E78+E81+E84</f>
        <v>271777</v>
      </c>
      <c r="F88" s="136">
        <f>F72+F75+F78+F81+F84</f>
        <v>280212.48200000002</v>
      </c>
      <c r="G88" s="136">
        <f>G72+G75+G78+G81+G84</f>
        <v>134492.33799999999</v>
      </c>
      <c r="H88" s="136">
        <f t="shared" ref="H88:AS88" si="19">H72+H75+H78+H81+H84</f>
        <v>45678.8</v>
      </c>
      <c r="I88" s="136">
        <f t="shared" ref="I88:J88" si="20">I72+I75+I78+I81+I84</f>
        <v>47320.47</v>
      </c>
      <c r="J88" s="136">
        <f t="shared" si="20"/>
        <v>22357.106</v>
      </c>
      <c r="K88" s="136">
        <f t="shared" si="19"/>
        <v>128989.7</v>
      </c>
      <c r="L88" s="136">
        <f t="shared" ref="L88:M88" si="21">L72+L75+L78+L81+L84</f>
        <v>130181.38799999998</v>
      </c>
      <c r="M88" s="136">
        <f t="shared" si="21"/>
        <v>54799.534999999996</v>
      </c>
      <c r="N88" s="136">
        <f t="shared" si="19"/>
        <v>2000</v>
      </c>
      <c r="O88" s="136">
        <f t="shared" ref="O88:P88" si="22">O72+O75+O78+O81+O84</f>
        <v>2707.7799999999997</v>
      </c>
      <c r="P88" s="136">
        <f t="shared" si="22"/>
        <v>722.4</v>
      </c>
      <c r="Q88" s="136">
        <f t="shared" si="19"/>
        <v>22862.1</v>
      </c>
      <c r="R88" s="136">
        <f t="shared" ref="R88:S88" si="23">R72+R75+R78+R81+R84</f>
        <v>25382.1</v>
      </c>
      <c r="S88" s="136">
        <f t="shared" si="23"/>
        <v>11487.283000000001</v>
      </c>
      <c r="T88" s="136">
        <f t="shared" si="19"/>
        <v>5903</v>
      </c>
      <c r="U88" s="136">
        <f t="shared" ref="U88:V88" si="24">U72+U75+U78+U81+U84</f>
        <v>5903</v>
      </c>
      <c r="V88" s="136">
        <f t="shared" si="24"/>
        <v>3603.3320000000003</v>
      </c>
      <c r="W88" s="136">
        <f t="shared" si="19"/>
        <v>0</v>
      </c>
      <c r="X88" s="136">
        <f t="shared" ref="X88:Y88" si="25">X72+X75+X78+X81+X84</f>
        <v>0</v>
      </c>
      <c r="Y88" s="136">
        <f t="shared" si="25"/>
        <v>0</v>
      </c>
      <c r="Z88" s="136">
        <f t="shared" si="19"/>
        <v>0</v>
      </c>
      <c r="AA88" s="136">
        <f t="shared" ref="AA88:AB88" si="26">AA72+AA75+AA78+AA81+AA84</f>
        <v>0</v>
      </c>
      <c r="AB88" s="136">
        <f t="shared" si="26"/>
        <v>0</v>
      </c>
      <c r="AC88" s="136">
        <f t="shared" si="19"/>
        <v>15767</v>
      </c>
      <c r="AD88" s="136">
        <f t="shared" ref="AD88:AE88" si="27">AD72+AD75+AD78+AD81+AD84</f>
        <v>15910</v>
      </c>
      <c r="AE88" s="136">
        <f t="shared" si="27"/>
        <v>3329.6419999999998</v>
      </c>
      <c r="AF88" s="136">
        <f t="shared" si="19"/>
        <v>22643</v>
      </c>
      <c r="AG88" s="136">
        <f t="shared" ref="AG88:AH88" si="28">AG72+AG75+AG78+AG81+AG84</f>
        <v>24161.536</v>
      </c>
      <c r="AH88" s="136">
        <f t="shared" si="28"/>
        <v>22845.377</v>
      </c>
      <c r="AI88" s="136">
        <f t="shared" si="19"/>
        <v>3829</v>
      </c>
      <c r="AJ88" s="136">
        <f t="shared" ref="AJ88:AK88" si="29">AJ72+AJ75+AJ78+AJ81+AJ84</f>
        <v>4343.6189999999997</v>
      </c>
      <c r="AK88" s="136">
        <f t="shared" si="29"/>
        <v>0</v>
      </c>
      <c r="AL88" s="136">
        <f t="shared" si="19"/>
        <v>10927.733</v>
      </c>
      <c r="AM88" s="136">
        <f t="shared" ref="AM88:AN88" si="30">AM72+AM75+AM78+AM81+AM84</f>
        <v>10927.733</v>
      </c>
      <c r="AN88" s="136">
        <f t="shared" si="30"/>
        <v>10927.733</v>
      </c>
      <c r="AO88" s="136">
        <f>AO72+AO75+AO78+AO81+AO84</f>
        <v>530377.33299999998</v>
      </c>
      <c r="AP88" s="136">
        <f>AP72+AP75+AP78+AP81+AP84</f>
        <v>547050.10800000012</v>
      </c>
      <c r="AQ88" s="136">
        <f>AQ72+AQ75+AQ78+AQ81+AQ84</f>
        <v>264564.74599999993</v>
      </c>
      <c r="AR88" s="325">
        <f t="shared" si="6"/>
        <v>0.48362068141662784</v>
      </c>
      <c r="AS88" s="136">
        <f t="shared" si="19"/>
        <v>230070.69999999998</v>
      </c>
      <c r="AT88" s="136">
        <f t="shared" ref="AT88:AU88" si="31">AT72+AT75+AT78+AT81+AT84</f>
        <v>238345.01700000002</v>
      </c>
      <c r="AU88" s="136">
        <f t="shared" si="31"/>
        <v>110196.85800000001</v>
      </c>
      <c r="AV88" s="136"/>
      <c r="AW88" s="136"/>
      <c r="AX88" s="111"/>
      <c r="AY88" s="111"/>
      <c r="AZ88" s="111"/>
    </row>
    <row r="89" spans="1:52" x14ac:dyDescent="0.25">
      <c r="A89" s="76">
        <v>87</v>
      </c>
      <c r="B89" s="76"/>
      <c r="C89" s="103"/>
      <c r="D89" s="103" t="s">
        <v>309</v>
      </c>
      <c r="E89" s="136">
        <f>E76</f>
        <v>6000</v>
      </c>
      <c r="F89" s="136">
        <f>F76</f>
        <v>6000</v>
      </c>
      <c r="G89" s="136">
        <f>G76</f>
        <v>3061.2</v>
      </c>
      <c r="H89" s="136">
        <f t="shared" ref="H89:AL89" si="32">H76</f>
        <v>1170</v>
      </c>
      <c r="I89" s="136">
        <f t="shared" ref="I89:J89" si="33">I76</f>
        <v>1170</v>
      </c>
      <c r="J89" s="136">
        <f t="shared" si="33"/>
        <v>612.24</v>
      </c>
      <c r="K89" s="136">
        <f t="shared" si="32"/>
        <v>0</v>
      </c>
      <c r="L89" s="136">
        <f t="shared" ref="L89:M89" si="34">L76</f>
        <v>0</v>
      </c>
      <c r="M89" s="136">
        <f t="shared" si="34"/>
        <v>0</v>
      </c>
      <c r="N89" s="136">
        <f t="shared" si="32"/>
        <v>0</v>
      </c>
      <c r="O89" s="136">
        <f t="shared" ref="O89:P89" si="35">O76</f>
        <v>0</v>
      </c>
      <c r="P89" s="136">
        <f t="shared" si="35"/>
        <v>0</v>
      </c>
      <c r="Q89" s="136">
        <f t="shared" si="32"/>
        <v>0</v>
      </c>
      <c r="R89" s="136">
        <f t="shared" ref="R89:S89" si="36">R76</f>
        <v>0</v>
      </c>
      <c r="S89" s="136">
        <f t="shared" si="36"/>
        <v>0</v>
      </c>
      <c r="T89" s="136">
        <f t="shared" si="32"/>
        <v>0</v>
      </c>
      <c r="U89" s="136">
        <f t="shared" ref="U89:V89" si="37">U76</f>
        <v>0</v>
      </c>
      <c r="V89" s="136">
        <f t="shared" si="37"/>
        <v>0</v>
      </c>
      <c r="W89" s="136">
        <f t="shared" si="32"/>
        <v>0</v>
      </c>
      <c r="X89" s="136">
        <f t="shared" ref="X89:Y89" si="38">X76</f>
        <v>0</v>
      </c>
      <c r="Y89" s="136">
        <f t="shared" si="38"/>
        <v>0</v>
      </c>
      <c r="Z89" s="136">
        <f t="shared" si="32"/>
        <v>0</v>
      </c>
      <c r="AA89" s="136">
        <f t="shared" ref="AA89:AB89" si="39">AA76</f>
        <v>0</v>
      </c>
      <c r="AB89" s="136">
        <f t="shared" si="39"/>
        <v>0</v>
      </c>
      <c r="AC89" s="136">
        <f t="shared" si="32"/>
        <v>0</v>
      </c>
      <c r="AD89" s="136">
        <f t="shared" ref="AD89:AE89" si="40">AD76</f>
        <v>0</v>
      </c>
      <c r="AE89" s="136">
        <f t="shared" si="40"/>
        <v>0</v>
      </c>
      <c r="AF89" s="136">
        <f t="shared" si="32"/>
        <v>0</v>
      </c>
      <c r="AG89" s="136">
        <f t="shared" ref="AG89:AH89" si="41">AG76</f>
        <v>0</v>
      </c>
      <c r="AH89" s="136">
        <f t="shared" si="41"/>
        <v>0</v>
      </c>
      <c r="AI89" s="136">
        <f t="shared" si="32"/>
        <v>0</v>
      </c>
      <c r="AJ89" s="136">
        <f t="shared" ref="AJ89:AK89" si="42">AJ76</f>
        <v>0</v>
      </c>
      <c r="AK89" s="136">
        <f t="shared" si="42"/>
        <v>0</v>
      </c>
      <c r="AL89" s="136">
        <f t="shared" si="32"/>
        <v>0</v>
      </c>
      <c r="AM89" s="136">
        <f t="shared" ref="AM89:AN89" si="43">AM76</f>
        <v>0</v>
      </c>
      <c r="AN89" s="136">
        <f t="shared" si="43"/>
        <v>0</v>
      </c>
      <c r="AO89" s="136">
        <f>AO76</f>
        <v>7170</v>
      </c>
      <c r="AP89" s="136">
        <f>AP76</f>
        <v>7170</v>
      </c>
      <c r="AQ89" s="136">
        <f>AQ76</f>
        <v>3673.4399999999996</v>
      </c>
      <c r="AR89" s="325">
        <f t="shared" si="6"/>
        <v>0.5123347280334728</v>
      </c>
      <c r="AS89" s="136">
        <f>AS76</f>
        <v>7170</v>
      </c>
      <c r="AT89" s="136">
        <f>AT76</f>
        <v>7170</v>
      </c>
      <c r="AU89" s="136">
        <f>AU76</f>
        <v>3674.44</v>
      </c>
      <c r="AV89" s="136"/>
      <c r="AW89" s="140"/>
      <c r="AX89" s="111"/>
      <c r="AY89" s="111"/>
      <c r="AZ89" s="111"/>
    </row>
    <row r="90" spans="1:52" x14ac:dyDescent="0.25">
      <c r="A90" s="76">
        <v>88</v>
      </c>
      <c r="B90" s="76"/>
      <c r="C90" s="103"/>
      <c r="D90" s="103" t="s">
        <v>248</v>
      </c>
      <c r="E90" s="136">
        <f>E73+E79+E82+E85</f>
        <v>73802</v>
      </c>
      <c r="F90" s="136">
        <f>F73+F79+F82+F85</f>
        <v>97220.6</v>
      </c>
      <c r="G90" s="136">
        <f>G73+G79+G82+G85</f>
        <v>28294.453000000001</v>
      </c>
      <c r="H90" s="136">
        <f t="shared" ref="H90:AS90" si="44">H73+H79+H82+H85</f>
        <v>15695</v>
      </c>
      <c r="I90" s="136">
        <f t="shared" ref="I90:J90" si="45">I73+I79+I82+I85</f>
        <v>20262.199000000001</v>
      </c>
      <c r="J90" s="136">
        <f t="shared" si="45"/>
        <v>5591.3509999999997</v>
      </c>
      <c r="K90" s="136">
        <f t="shared" si="44"/>
        <v>128146</v>
      </c>
      <c r="L90" s="136">
        <f t="shared" ref="L90:M90" si="46">L73+L79+L82+L85</f>
        <v>131998</v>
      </c>
      <c r="M90" s="136">
        <f t="shared" si="46"/>
        <v>33143.330999999998</v>
      </c>
      <c r="N90" s="136">
        <f t="shared" si="44"/>
        <v>3400</v>
      </c>
      <c r="O90" s="136">
        <f t="shared" ref="O90:P90" si="47">O73+O79+O82+O85</f>
        <v>3400</v>
      </c>
      <c r="P90" s="136">
        <f t="shared" si="47"/>
        <v>823.81</v>
      </c>
      <c r="Q90" s="136">
        <f t="shared" si="44"/>
        <v>4250</v>
      </c>
      <c r="R90" s="136">
        <f t="shared" ref="R90:S90" si="48">R73+R79+R82+R85</f>
        <v>4450</v>
      </c>
      <c r="S90" s="136">
        <f t="shared" si="48"/>
        <v>2800</v>
      </c>
      <c r="T90" s="136">
        <f t="shared" si="44"/>
        <v>1475</v>
      </c>
      <c r="U90" s="136">
        <f t="shared" ref="U90:V90" si="49">U73+U79+U82+U85</f>
        <v>1475</v>
      </c>
      <c r="V90" s="136">
        <f t="shared" si="49"/>
        <v>589.03199999999993</v>
      </c>
      <c r="W90" s="136">
        <f t="shared" si="44"/>
        <v>0</v>
      </c>
      <c r="X90" s="136">
        <f t="shared" ref="X90:Y90" si="50">X73+X79+X82+X85</f>
        <v>0</v>
      </c>
      <c r="Y90" s="136">
        <f t="shared" si="50"/>
        <v>0</v>
      </c>
      <c r="Z90" s="136">
        <f t="shared" si="44"/>
        <v>0</v>
      </c>
      <c r="AA90" s="136">
        <f t="shared" ref="AA90:AB90" si="51">AA73+AA79+AA82+AA85</f>
        <v>0</v>
      </c>
      <c r="AB90" s="136">
        <f t="shared" si="51"/>
        <v>0</v>
      </c>
      <c r="AC90" s="136">
        <f t="shared" si="44"/>
        <v>606922</v>
      </c>
      <c r="AD90" s="136">
        <f t="shared" ref="AD90:AE90" si="52">AD73+AD79+AD82+AD85</f>
        <v>597561.66599999997</v>
      </c>
      <c r="AE90" s="136">
        <f t="shared" si="52"/>
        <v>0</v>
      </c>
      <c r="AF90" s="136">
        <f t="shared" si="44"/>
        <v>0</v>
      </c>
      <c r="AG90" s="136">
        <f t="shared" ref="AG90:AH90" si="53">AG73+AG79+AG82+AG85</f>
        <v>2708.8159999999998</v>
      </c>
      <c r="AH90" s="136">
        <f t="shared" si="53"/>
        <v>0</v>
      </c>
      <c r="AI90" s="136">
        <f t="shared" si="44"/>
        <v>22277.298999999999</v>
      </c>
      <c r="AJ90" s="136">
        <f t="shared" ref="AJ90:AK90" si="54">AJ73+AJ79+AJ82+AJ85</f>
        <v>18618.342000000001</v>
      </c>
      <c r="AK90" s="136">
        <f t="shared" si="54"/>
        <v>0</v>
      </c>
      <c r="AL90" s="136">
        <f t="shared" si="44"/>
        <v>0</v>
      </c>
      <c r="AM90" s="136">
        <f t="shared" ref="AM90:AN90" si="55">AM73+AM79+AM82+AM85</f>
        <v>0</v>
      </c>
      <c r="AN90" s="136">
        <f t="shared" si="55"/>
        <v>0</v>
      </c>
      <c r="AO90" s="136">
        <f>AO73+AO79+AO82+AO85</f>
        <v>855967.29900000012</v>
      </c>
      <c r="AP90" s="136">
        <f>AP73+AP79+AP82+AP85</f>
        <v>877694.62300000002</v>
      </c>
      <c r="AQ90" s="136">
        <f>AQ73+AQ79+AQ82+AQ85</f>
        <v>71241.977000000014</v>
      </c>
      <c r="AR90" s="325">
        <f t="shared" si="6"/>
        <v>8.116943539712218E-2</v>
      </c>
      <c r="AS90" s="136">
        <f t="shared" si="44"/>
        <v>74792</v>
      </c>
      <c r="AT90" s="136">
        <f t="shared" ref="AT90:AU90" si="56">AT73+AT79+AT82+AT85</f>
        <v>81189.8</v>
      </c>
      <c r="AU90" s="136">
        <f t="shared" si="56"/>
        <v>32383.720999999998</v>
      </c>
      <c r="AV90" s="136"/>
      <c r="AW90" s="140"/>
      <c r="AX90" s="111"/>
      <c r="AY90" s="111"/>
      <c r="AZ90" s="111"/>
    </row>
    <row r="91" spans="1:52" s="107" customFormat="1" x14ac:dyDescent="0.25">
      <c r="A91" s="76">
        <v>89</v>
      </c>
      <c r="B91" s="76"/>
      <c r="C91" s="112"/>
      <c r="D91" s="112" t="s">
        <v>249</v>
      </c>
      <c r="E91" s="140">
        <f>SUM(E88:E90)</f>
        <v>351579</v>
      </c>
      <c r="F91" s="140">
        <f>SUM(F88:F90)</f>
        <v>383433.08200000005</v>
      </c>
      <c r="G91" s="518">
        <f>SUM(G88:G90)</f>
        <v>165847.99100000001</v>
      </c>
      <c r="H91" s="140">
        <f t="shared" ref="H91:AS91" si="57">SUM(H88:H90)</f>
        <v>62543.8</v>
      </c>
      <c r="I91" s="140">
        <f t="shared" ref="I91:J91" si="58">SUM(I88:I90)</f>
        <v>68752.668999999994</v>
      </c>
      <c r="J91" s="518">
        <f t="shared" si="58"/>
        <v>28560.697</v>
      </c>
      <c r="K91" s="140">
        <f t="shared" si="57"/>
        <v>257135.7</v>
      </c>
      <c r="L91" s="140">
        <f t="shared" ref="L91:M91" si="59">SUM(L88:L90)</f>
        <v>262179.38799999998</v>
      </c>
      <c r="M91" s="518">
        <f t="shared" si="59"/>
        <v>87942.865999999995</v>
      </c>
      <c r="N91" s="140">
        <f t="shared" si="57"/>
        <v>5400</v>
      </c>
      <c r="O91" s="140">
        <f t="shared" ref="O91:P91" si="60">SUM(O88:O90)</f>
        <v>6107.78</v>
      </c>
      <c r="P91" s="518">
        <f t="shared" si="60"/>
        <v>1546.21</v>
      </c>
      <c r="Q91" s="140">
        <f t="shared" si="57"/>
        <v>27112.1</v>
      </c>
      <c r="R91" s="140">
        <f t="shared" ref="R91:S91" si="61">SUM(R88:R90)</f>
        <v>29832.1</v>
      </c>
      <c r="S91" s="518">
        <f t="shared" si="61"/>
        <v>14287.283000000001</v>
      </c>
      <c r="T91" s="140">
        <f t="shared" si="57"/>
        <v>7378</v>
      </c>
      <c r="U91" s="140">
        <f t="shared" ref="U91:V91" si="62">SUM(U88:U90)</f>
        <v>7378</v>
      </c>
      <c r="V91" s="518">
        <f t="shared" si="62"/>
        <v>4192.3640000000005</v>
      </c>
      <c r="W91" s="140">
        <f t="shared" si="57"/>
        <v>0</v>
      </c>
      <c r="X91" s="140">
        <f t="shared" ref="X91:Y91" si="63">SUM(X88:X90)</f>
        <v>0</v>
      </c>
      <c r="Y91" s="140">
        <f t="shared" si="63"/>
        <v>0</v>
      </c>
      <c r="Z91" s="140">
        <f t="shared" si="57"/>
        <v>0</v>
      </c>
      <c r="AA91" s="140">
        <f t="shared" ref="AA91:AB91" si="64">SUM(AA88:AA90)</f>
        <v>0</v>
      </c>
      <c r="AB91" s="140">
        <f t="shared" si="64"/>
        <v>0</v>
      </c>
      <c r="AC91" s="140">
        <f t="shared" si="57"/>
        <v>622689</v>
      </c>
      <c r="AD91" s="140">
        <f t="shared" ref="AD91:AE91" si="65">SUM(AD88:AD90)</f>
        <v>613471.66599999997</v>
      </c>
      <c r="AE91" s="518">
        <f t="shared" si="65"/>
        <v>3329.6419999999998</v>
      </c>
      <c r="AF91" s="140">
        <f t="shared" si="57"/>
        <v>22643</v>
      </c>
      <c r="AG91" s="140">
        <f t="shared" ref="AG91:AH91" si="66">SUM(AG88:AG90)</f>
        <v>26870.351999999999</v>
      </c>
      <c r="AH91" s="518">
        <f t="shared" si="66"/>
        <v>22845.377</v>
      </c>
      <c r="AI91" s="140">
        <f t="shared" si="57"/>
        <v>26106.298999999999</v>
      </c>
      <c r="AJ91" s="140">
        <f t="shared" ref="AJ91:AK91" si="67">SUM(AJ88:AJ90)</f>
        <v>22961.960999999999</v>
      </c>
      <c r="AK91" s="140">
        <f t="shared" si="67"/>
        <v>0</v>
      </c>
      <c r="AL91" s="140">
        <f t="shared" si="57"/>
        <v>10927.733</v>
      </c>
      <c r="AM91" s="140">
        <f t="shared" ref="AM91:AN91" si="68">SUM(AM88:AM90)</f>
        <v>10927.733</v>
      </c>
      <c r="AN91" s="518">
        <f t="shared" si="68"/>
        <v>10927.733</v>
      </c>
      <c r="AO91" s="140">
        <f>SUM(AO88:AO90)</f>
        <v>1393514.6320000002</v>
      </c>
      <c r="AP91" s="140">
        <f>SUM(AP88:AP90)</f>
        <v>1431914.7310000001</v>
      </c>
      <c r="AQ91" s="518">
        <f>SUM(AQ88:AQ90)</f>
        <v>339480.16299999994</v>
      </c>
      <c r="AR91" s="325">
        <f t="shared" si="6"/>
        <v>0.23708127002989809</v>
      </c>
      <c r="AS91" s="140">
        <f t="shared" si="57"/>
        <v>312032.69999999995</v>
      </c>
      <c r="AT91" s="140">
        <f t="shared" ref="AT91:AU91" si="69">SUM(AT88:AT90)</f>
        <v>326704.81700000004</v>
      </c>
      <c r="AU91" s="140">
        <f t="shared" si="69"/>
        <v>146255.019</v>
      </c>
      <c r="AV91" s="140"/>
      <c r="AW91" s="140"/>
      <c r="AX91" s="111"/>
      <c r="AY91" s="111"/>
      <c r="AZ91" s="125"/>
    </row>
    <row r="92" spans="1:52" x14ac:dyDescent="0.25">
      <c r="AS92" s="198">
        <f>AO64+AS91</f>
        <v>1336860.3319999999</v>
      </c>
      <c r="AT92" s="198">
        <f>AP64+AT91</f>
        <v>1373243.469</v>
      </c>
      <c r="AU92" s="330">
        <f>AQ64+AU91</f>
        <v>325111.22699999996</v>
      </c>
      <c r="AV92" s="198"/>
      <c r="AW92" s="113"/>
      <c r="AX92" s="113"/>
      <c r="AY92" s="113"/>
    </row>
    <row r="93" spans="1:52" x14ac:dyDescent="0.25">
      <c r="AW93" s="113"/>
      <c r="AX93" s="113"/>
      <c r="AY93" s="79">
        <v>13142</v>
      </c>
    </row>
    <row r="94" spans="1:52" x14ac:dyDescent="0.25">
      <c r="AW94" s="113"/>
      <c r="AX94" s="113"/>
      <c r="AY94" s="113"/>
    </row>
    <row r="97" spans="29:31" x14ac:dyDescent="0.25">
      <c r="AC97" s="107"/>
      <c r="AD97" s="107"/>
      <c r="AE97" s="107"/>
    </row>
  </sheetData>
  <mergeCells count="16">
    <mergeCell ref="AS3:AV3"/>
    <mergeCell ref="D2:AW2"/>
    <mergeCell ref="AI1:AS1"/>
    <mergeCell ref="E3:G3"/>
    <mergeCell ref="H3:J3"/>
    <mergeCell ref="K3:M3"/>
    <mergeCell ref="N3:P3"/>
    <mergeCell ref="Q3:S3"/>
    <mergeCell ref="AI3:AK3"/>
    <mergeCell ref="AL3:AN3"/>
    <mergeCell ref="AO3:AR3"/>
    <mergeCell ref="T3:V3"/>
    <mergeCell ref="W3:Y3"/>
    <mergeCell ref="Z3:AB3"/>
    <mergeCell ref="AC3:AE3"/>
    <mergeCell ref="AF3:AH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0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2"/>
  <sheetViews>
    <sheetView view="pageBreakPreview" topLeftCell="L1" zoomScaleNormal="100" zoomScaleSheetLayoutView="100" workbookViewId="0">
      <selection activeCell="AI12" sqref="AI12"/>
    </sheetView>
  </sheetViews>
  <sheetFormatPr defaultRowHeight="15" x14ac:dyDescent="0.25"/>
  <cols>
    <col min="1" max="1" width="6.28515625" style="72" customWidth="1"/>
    <col min="2" max="2" width="10.7109375" style="267" customWidth="1"/>
    <col min="3" max="3" width="40.7109375" style="72" customWidth="1"/>
    <col min="4" max="15" width="12.28515625" style="72" customWidth="1"/>
    <col min="16" max="18" width="10.85546875" style="72" customWidth="1"/>
    <col min="19" max="21" width="13.140625" style="72" customWidth="1"/>
    <col min="22" max="24" width="11.28515625" style="72" customWidth="1"/>
    <col min="25" max="27" width="10.140625" style="72" customWidth="1"/>
    <col min="28" max="30" width="10.85546875" style="72" customWidth="1"/>
    <col min="31" max="31" width="11.28515625" style="72" bestFit="1" customWidth="1"/>
    <col min="32" max="32" width="10.140625" style="72" hidden="1" customWidth="1"/>
    <col min="33" max="33" width="10.85546875" style="72" hidden="1" customWidth="1"/>
    <col min="34" max="35" width="12.42578125" style="72" bestFit="1" customWidth="1"/>
    <col min="36" max="16384" width="9.140625" style="72"/>
  </cols>
  <sheetData>
    <row r="1" spans="1:36" x14ac:dyDescent="0.25">
      <c r="S1" s="585" t="s">
        <v>435</v>
      </c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</row>
    <row r="2" spans="1:36" ht="61.5" customHeight="1" x14ac:dyDescent="0.25">
      <c r="A2" s="71">
        <v>1</v>
      </c>
      <c r="B2" s="71"/>
      <c r="C2" s="586" t="s">
        <v>436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</row>
    <row r="3" spans="1:36" ht="57.75" customHeight="1" x14ac:dyDescent="0.25">
      <c r="A3" s="71">
        <v>2</v>
      </c>
      <c r="B3" s="73" t="s">
        <v>297</v>
      </c>
      <c r="C3" s="242" t="s">
        <v>203</v>
      </c>
      <c r="D3" s="587" t="s">
        <v>91</v>
      </c>
      <c r="E3" s="588"/>
      <c r="F3" s="589"/>
      <c r="G3" s="587" t="s">
        <v>274</v>
      </c>
      <c r="H3" s="588"/>
      <c r="I3" s="589"/>
      <c r="J3" s="587" t="s">
        <v>93</v>
      </c>
      <c r="K3" s="588"/>
      <c r="L3" s="589"/>
      <c r="M3" s="587" t="s">
        <v>275</v>
      </c>
      <c r="N3" s="588"/>
      <c r="O3" s="589"/>
      <c r="P3" s="587" t="s">
        <v>95</v>
      </c>
      <c r="Q3" s="588"/>
      <c r="R3" s="589"/>
      <c r="S3" s="587" t="s">
        <v>109</v>
      </c>
      <c r="T3" s="588"/>
      <c r="U3" s="589"/>
      <c r="V3" s="587" t="s">
        <v>112</v>
      </c>
      <c r="W3" s="588"/>
      <c r="X3" s="589"/>
      <c r="Y3" s="587" t="s">
        <v>278</v>
      </c>
      <c r="Z3" s="588"/>
      <c r="AA3" s="589"/>
      <c r="AB3" s="587" t="s">
        <v>279</v>
      </c>
      <c r="AC3" s="588"/>
      <c r="AD3" s="589"/>
      <c r="AE3" s="587" t="s">
        <v>246</v>
      </c>
      <c r="AF3" s="588"/>
      <c r="AG3" s="588"/>
      <c r="AH3" s="588"/>
      <c r="AI3" s="588"/>
      <c r="AJ3" s="589"/>
    </row>
    <row r="4" spans="1:36" ht="30" x14ac:dyDescent="0.25">
      <c r="A4" s="71">
        <v>3</v>
      </c>
      <c r="B4" s="268"/>
      <c r="C4" s="212" t="s">
        <v>254</v>
      </c>
      <c r="D4" s="75" t="s">
        <v>417</v>
      </c>
      <c r="E4" s="102" t="s">
        <v>412</v>
      </c>
      <c r="F4" s="102" t="s">
        <v>424</v>
      </c>
      <c r="G4" s="75" t="s">
        <v>417</v>
      </c>
      <c r="H4" s="102" t="s">
        <v>412</v>
      </c>
      <c r="I4" s="102" t="s">
        <v>424</v>
      </c>
      <c r="J4" s="75" t="s">
        <v>417</v>
      </c>
      <c r="K4" s="102" t="s">
        <v>412</v>
      </c>
      <c r="L4" s="102" t="s">
        <v>424</v>
      </c>
      <c r="M4" s="75" t="s">
        <v>417</v>
      </c>
      <c r="N4" s="102" t="s">
        <v>412</v>
      </c>
      <c r="O4" s="102" t="s">
        <v>424</v>
      </c>
      <c r="P4" s="75" t="s">
        <v>417</v>
      </c>
      <c r="Q4" s="102" t="s">
        <v>412</v>
      </c>
      <c r="R4" s="102" t="s">
        <v>424</v>
      </c>
      <c r="S4" s="75" t="s">
        <v>417</v>
      </c>
      <c r="T4" s="102" t="s">
        <v>412</v>
      </c>
      <c r="U4" s="102" t="s">
        <v>424</v>
      </c>
      <c r="V4" s="75" t="s">
        <v>417</v>
      </c>
      <c r="W4" s="102" t="s">
        <v>412</v>
      </c>
      <c r="X4" s="102" t="s">
        <v>424</v>
      </c>
      <c r="Y4" s="75" t="s">
        <v>417</v>
      </c>
      <c r="Z4" s="102" t="s">
        <v>412</v>
      </c>
      <c r="AA4" s="102" t="s">
        <v>424</v>
      </c>
      <c r="AB4" s="75" t="s">
        <v>417</v>
      </c>
      <c r="AC4" s="102" t="s">
        <v>412</v>
      </c>
      <c r="AD4" s="102" t="s">
        <v>424</v>
      </c>
      <c r="AE4" s="75" t="s">
        <v>417</v>
      </c>
      <c r="AF4" s="102" t="s">
        <v>412</v>
      </c>
      <c r="AG4" s="75" t="s">
        <v>417</v>
      </c>
      <c r="AH4" s="102" t="s">
        <v>412</v>
      </c>
      <c r="AI4" s="102" t="s">
        <v>424</v>
      </c>
      <c r="AJ4" s="102" t="s">
        <v>425</v>
      </c>
    </row>
    <row r="5" spans="1:36" x14ac:dyDescent="0.25">
      <c r="A5" s="71">
        <v>4</v>
      </c>
      <c r="B5" s="71" t="s">
        <v>315</v>
      </c>
      <c r="C5" s="85" t="s">
        <v>309</v>
      </c>
      <c r="D5" s="141">
        <v>6000</v>
      </c>
      <c r="E5" s="141">
        <v>6000</v>
      </c>
      <c r="F5" s="141">
        <v>3061.2</v>
      </c>
      <c r="G5" s="141">
        <v>1170</v>
      </c>
      <c r="H5" s="141">
        <v>1170</v>
      </c>
      <c r="I5" s="141">
        <v>612.24</v>
      </c>
      <c r="J5" s="141"/>
      <c r="K5" s="141"/>
      <c r="L5" s="141"/>
      <c r="M5" s="269"/>
      <c r="N5" s="269"/>
      <c r="O5" s="269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69"/>
      <c r="AC5" s="269"/>
      <c r="AD5" s="269"/>
      <c r="AE5" s="143">
        <f>D5+G5+J5+M5+P5+S5+V5+Y5+AB5</f>
        <v>7170</v>
      </c>
      <c r="AF5" s="143">
        <f>E5+H5+K5+N5+Q5+T5+W5+Z5+AC5</f>
        <v>7170</v>
      </c>
      <c r="AG5" s="143">
        <f t="shared" ref="AG5:AG7" si="0">G5+J5+M5+P5+S5+V5+Y5+AB5+AE5</f>
        <v>8340</v>
      </c>
      <c r="AH5" s="143">
        <f t="shared" ref="AH5:AI7" si="1">E5+H5+K5+N5+Q5+T5+W5+Z5+AC5</f>
        <v>7170</v>
      </c>
      <c r="AI5" s="143">
        <f t="shared" si="1"/>
        <v>3673.4399999999996</v>
      </c>
      <c r="AJ5" s="273">
        <f>AI5/AH5</f>
        <v>0.5123347280334728</v>
      </c>
    </row>
    <row r="6" spans="1:36" x14ac:dyDescent="0.25">
      <c r="A6" s="71"/>
      <c r="B6" s="71" t="s">
        <v>211</v>
      </c>
      <c r="C6" s="85" t="s">
        <v>463</v>
      </c>
      <c r="D6" s="141"/>
      <c r="E6" s="141">
        <v>870</v>
      </c>
      <c r="F6" s="141">
        <v>870.27200000000005</v>
      </c>
      <c r="G6" s="141"/>
      <c r="H6" s="141">
        <v>166.57499999999999</v>
      </c>
      <c r="I6" s="141">
        <v>162.964</v>
      </c>
      <c r="J6" s="141"/>
      <c r="K6" s="141">
        <v>103.425</v>
      </c>
      <c r="L6" s="141">
        <v>110.675</v>
      </c>
      <c r="M6" s="269"/>
      <c r="N6" s="269"/>
      <c r="O6" s="269"/>
      <c r="P6" s="270"/>
      <c r="Q6" s="270"/>
      <c r="R6" s="270"/>
      <c r="S6" s="270"/>
      <c r="T6" s="270">
        <v>20</v>
      </c>
      <c r="U6" s="270">
        <v>22.099</v>
      </c>
      <c r="V6" s="270"/>
      <c r="W6" s="270"/>
      <c r="X6" s="270"/>
      <c r="Y6" s="270"/>
      <c r="Z6" s="270"/>
      <c r="AA6" s="270"/>
      <c r="AB6" s="269"/>
      <c r="AC6" s="269"/>
      <c r="AD6" s="269"/>
      <c r="AE6" s="143"/>
      <c r="AF6" s="143"/>
      <c r="AG6" s="143"/>
      <c r="AH6" s="143">
        <f t="shared" si="1"/>
        <v>1160</v>
      </c>
      <c r="AI6" s="143">
        <f t="shared" si="1"/>
        <v>1166.01</v>
      </c>
      <c r="AJ6" s="273">
        <f>AI6/AH6</f>
        <v>1.0051810344827585</v>
      </c>
    </row>
    <row r="7" spans="1:36" x14ac:dyDescent="0.25">
      <c r="A7" s="71">
        <v>5</v>
      </c>
      <c r="B7" s="71" t="s">
        <v>211</v>
      </c>
      <c r="C7" s="85" t="s">
        <v>256</v>
      </c>
      <c r="D7" s="141">
        <v>52457</v>
      </c>
      <c r="E7" s="141">
        <v>52960.5</v>
      </c>
      <c r="F7" s="141">
        <v>24788.333999999999</v>
      </c>
      <c r="G7" s="141">
        <v>10460</v>
      </c>
      <c r="H7" s="141">
        <v>10558.164000000001</v>
      </c>
      <c r="I7" s="141">
        <v>4586.1970000000001</v>
      </c>
      <c r="J7" s="141">
        <v>10495</v>
      </c>
      <c r="K7" s="141">
        <v>10488.398999999999</v>
      </c>
      <c r="L7" s="141">
        <v>4623.9380000000001</v>
      </c>
      <c r="M7" s="269"/>
      <c r="N7" s="269"/>
      <c r="O7" s="269"/>
      <c r="P7" s="270"/>
      <c r="Q7" s="270"/>
      <c r="R7" s="270"/>
      <c r="S7" s="270">
        <v>127</v>
      </c>
      <c r="T7" s="270">
        <v>127</v>
      </c>
      <c r="U7" s="270">
        <v>107.97</v>
      </c>
      <c r="V7" s="270"/>
      <c r="W7" s="270"/>
      <c r="X7" s="270"/>
      <c r="Y7" s="270"/>
      <c r="Z7" s="270"/>
      <c r="AA7" s="270"/>
      <c r="AB7" s="269"/>
      <c r="AC7" s="269"/>
      <c r="AD7" s="269"/>
      <c r="AE7" s="143">
        <f>D7+G7+J7+M7+P7+S7+V7+Y7+AB7</f>
        <v>73539</v>
      </c>
      <c r="AF7" s="143">
        <f>E7+H7+K7+N7+Q7+T7+W7+Z7+AC7</f>
        <v>74134.063000000009</v>
      </c>
      <c r="AG7" s="143">
        <f t="shared" si="0"/>
        <v>94621</v>
      </c>
      <c r="AH7" s="143">
        <f t="shared" si="1"/>
        <v>74134.063000000009</v>
      </c>
      <c r="AI7" s="143">
        <f t="shared" si="1"/>
        <v>34106.438999999998</v>
      </c>
      <c r="AJ7" s="273">
        <f t="shared" ref="AJ7:AJ11" si="2">AI7/AH7</f>
        <v>0.46006434316165828</v>
      </c>
    </row>
    <row r="8" spans="1:36" ht="15.75" x14ac:dyDescent="0.25">
      <c r="A8" s="71">
        <v>6</v>
      </c>
      <c r="B8" s="71"/>
      <c r="C8" s="74" t="s">
        <v>257</v>
      </c>
      <c r="D8" s="143">
        <f t="shared" ref="D8:AE8" si="3">SUM(D5:D7)</f>
        <v>58457</v>
      </c>
      <c r="E8" s="143">
        <f t="shared" si="3"/>
        <v>59830.5</v>
      </c>
      <c r="F8" s="516">
        <f t="shared" si="3"/>
        <v>28719.805999999997</v>
      </c>
      <c r="G8" s="143">
        <f t="shared" si="3"/>
        <v>11630</v>
      </c>
      <c r="H8" s="143">
        <f t="shared" ref="H8:I8" si="4">SUM(H5:H7)</f>
        <v>11894.739000000001</v>
      </c>
      <c r="I8" s="516">
        <f t="shared" si="4"/>
        <v>5361.4009999999998</v>
      </c>
      <c r="J8" s="143">
        <f t="shared" si="3"/>
        <v>10495</v>
      </c>
      <c r="K8" s="143">
        <f t="shared" ref="K8:L8" si="5">SUM(K5:K7)</f>
        <v>10591.823999999999</v>
      </c>
      <c r="L8" s="516">
        <f t="shared" si="5"/>
        <v>4734.6130000000003</v>
      </c>
      <c r="M8" s="143">
        <f t="shared" si="3"/>
        <v>0</v>
      </c>
      <c r="N8" s="143">
        <f t="shared" ref="N8:O8" si="6">SUM(N5:N7)</f>
        <v>0</v>
      </c>
      <c r="O8" s="143">
        <f t="shared" si="6"/>
        <v>0</v>
      </c>
      <c r="P8" s="143">
        <f t="shared" si="3"/>
        <v>0</v>
      </c>
      <c r="Q8" s="143">
        <f t="shared" ref="Q8:R8" si="7">SUM(Q5:Q7)</f>
        <v>0</v>
      </c>
      <c r="R8" s="143">
        <f t="shared" si="7"/>
        <v>0</v>
      </c>
      <c r="S8" s="143">
        <f t="shared" si="3"/>
        <v>127</v>
      </c>
      <c r="T8" s="143">
        <f t="shared" ref="T8:U8" si="8">SUM(T5:T7)</f>
        <v>147</v>
      </c>
      <c r="U8" s="516">
        <f t="shared" si="8"/>
        <v>130.06899999999999</v>
      </c>
      <c r="V8" s="143">
        <f t="shared" si="3"/>
        <v>0</v>
      </c>
      <c r="W8" s="143">
        <f t="shared" ref="W8:X8" si="9">SUM(W5:W7)</f>
        <v>0</v>
      </c>
      <c r="X8" s="143">
        <f t="shared" si="9"/>
        <v>0</v>
      </c>
      <c r="Y8" s="143">
        <f t="shared" si="3"/>
        <v>0</v>
      </c>
      <c r="Z8" s="143">
        <f t="shared" ref="Z8:AA8" si="10">SUM(Z5:Z7)</f>
        <v>0</v>
      </c>
      <c r="AA8" s="143">
        <f t="shared" si="10"/>
        <v>0</v>
      </c>
      <c r="AB8" s="143">
        <f t="shared" si="3"/>
        <v>0</v>
      </c>
      <c r="AC8" s="143">
        <f t="shared" ref="AC8:AD8" si="11">SUM(AC5:AC7)</f>
        <v>0</v>
      </c>
      <c r="AD8" s="143">
        <f t="shared" si="11"/>
        <v>0</v>
      </c>
      <c r="AE8" s="143">
        <f t="shared" si="3"/>
        <v>80709</v>
      </c>
      <c r="AF8" s="143">
        <f t="shared" ref="AF8:AH8" si="12">SUM(AF5:AF7)</f>
        <v>81304.063000000009</v>
      </c>
      <c r="AG8" s="143">
        <f t="shared" si="12"/>
        <v>102961</v>
      </c>
      <c r="AH8" s="143">
        <f t="shared" si="12"/>
        <v>82464.063000000009</v>
      </c>
      <c r="AI8" s="516">
        <f t="shared" ref="AI8" si="13">SUM(AI5:AI7)</f>
        <v>38945.888999999996</v>
      </c>
      <c r="AJ8" s="273">
        <f t="shared" si="2"/>
        <v>0.47227710572543569</v>
      </c>
    </row>
    <row r="9" spans="1:36" x14ac:dyDescent="0.25">
      <c r="A9" s="71">
        <v>7</v>
      </c>
      <c r="B9" s="71"/>
      <c r="C9" s="80" t="s">
        <v>242</v>
      </c>
      <c r="D9" s="144">
        <f t="shared" ref="D9:AE9" si="14">SUMIF($B5:$B7,"kötelező",D5:D7)</f>
        <v>52457</v>
      </c>
      <c r="E9" s="144">
        <f t="shared" si="14"/>
        <v>53830.5</v>
      </c>
      <c r="F9" s="144">
        <f t="shared" si="14"/>
        <v>25658.606</v>
      </c>
      <c r="G9" s="144">
        <f t="shared" si="14"/>
        <v>10460</v>
      </c>
      <c r="H9" s="144">
        <f t="shared" ref="H9:I9" si="15">SUMIF($B5:$B7,"kötelező",H5:H7)</f>
        <v>10724.739000000001</v>
      </c>
      <c r="I9" s="144">
        <f t="shared" si="15"/>
        <v>4749.1610000000001</v>
      </c>
      <c r="J9" s="144">
        <f t="shared" si="14"/>
        <v>10495</v>
      </c>
      <c r="K9" s="144">
        <f t="shared" ref="K9:L9" si="16">SUMIF($B5:$B7,"kötelező",K5:K7)</f>
        <v>10591.823999999999</v>
      </c>
      <c r="L9" s="144">
        <f t="shared" si="16"/>
        <v>4734.6130000000003</v>
      </c>
      <c r="M9" s="144">
        <f t="shared" si="14"/>
        <v>0</v>
      </c>
      <c r="N9" s="144">
        <f t="shared" ref="N9:O9" si="17">SUMIF($B5:$B7,"kötelező",N5:N7)</f>
        <v>0</v>
      </c>
      <c r="O9" s="144">
        <f t="shared" si="17"/>
        <v>0</v>
      </c>
      <c r="P9" s="144">
        <f t="shared" si="14"/>
        <v>0</v>
      </c>
      <c r="Q9" s="144">
        <f t="shared" ref="Q9:R9" si="18">SUMIF($B5:$B7,"kötelező",Q5:Q7)</f>
        <v>0</v>
      </c>
      <c r="R9" s="144">
        <f t="shared" si="18"/>
        <v>0</v>
      </c>
      <c r="S9" s="144">
        <f t="shared" si="14"/>
        <v>127</v>
      </c>
      <c r="T9" s="144">
        <f t="shared" ref="T9:U9" si="19">SUMIF($B5:$B7,"kötelező",T5:T7)</f>
        <v>147</v>
      </c>
      <c r="U9" s="144">
        <f t="shared" si="19"/>
        <v>130.06899999999999</v>
      </c>
      <c r="V9" s="144">
        <f t="shared" si="14"/>
        <v>0</v>
      </c>
      <c r="W9" s="144">
        <f t="shared" ref="W9:X9" si="20">SUMIF($B5:$B7,"kötelező",W5:W7)</f>
        <v>0</v>
      </c>
      <c r="X9" s="144">
        <f t="shared" si="20"/>
        <v>0</v>
      </c>
      <c r="Y9" s="144">
        <f t="shared" si="14"/>
        <v>0</v>
      </c>
      <c r="Z9" s="144">
        <f t="shared" ref="Z9:AA9" si="21">SUMIF($B5:$B7,"kötelező",Z5:Z7)</f>
        <v>0</v>
      </c>
      <c r="AA9" s="144">
        <f t="shared" si="21"/>
        <v>0</v>
      </c>
      <c r="AB9" s="144">
        <f t="shared" si="14"/>
        <v>0</v>
      </c>
      <c r="AC9" s="144">
        <f t="shared" ref="AC9:AD9" si="22">SUMIF($B5:$B7,"kötelező",AC5:AC7)</f>
        <v>0</v>
      </c>
      <c r="AD9" s="144">
        <f t="shared" si="22"/>
        <v>0</v>
      </c>
      <c r="AE9" s="144">
        <f t="shared" si="14"/>
        <v>73539</v>
      </c>
      <c r="AF9" s="144">
        <f t="shared" ref="AF9:AH9" si="23">SUMIF($B5:$B7,"kötelező",AF5:AF7)</f>
        <v>74134.063000000009</v>
      </c>
      <c r="AG9" s="144">
        <f t="shared" si="23"/>
        <v>94621</v>
      </c>
      <c r="AH9" s="144">
        <f t="shared" si="23"/>
        <v>75294.063000000009</v>
      </c>
      <c r="AI9" s="144">
        <f t="shared" ref="AI9" si="24">SUMIF($B5:$B7,"kötelező",AI5:AI7)</f>
        <v>35272.449000000001</v>
      </c>
      <c r="AJ9" s="272">
        <f t="shared" si="2"/>
        <v>0.46846255328258746</v>
      </c>
    </row>
    <row r="10" spans="1:36" x14ac:dyDescent="0.25">
      <c r="A10" s="71">
        <v>8</v>
      </c>
      <c r="B10" s="71"/>
      <c r="C10" s="80" t="s">
        <v>309</v>
      </c>
      <c r="D10" s="144">
        <f>SUMIF($B5:$B7,"államigazg",D5:D7)</f>
        <v>6000</v>
      </c>
      <c r="E10" s="144">
        <f>SUMIF($B5:$B7,"államigazg",E5:E7)</f>
        <v>6000</v>
      </c>
      <c r="F10" s="144">
        <f>SUMIF($B5:$B7,"államigazg",F5:F7)</f>
        <v>3061.2</v>
      </c>
      <c r="G10" s="144">
        <f t="shared" ref="G10:AE10" si="25">SUMIF($B5:$B7,"államigazg",G5:G7)</f>
        <v>1170</v>
      </c>
      <c r="H10" s="144">
        <f t="shared" ref="H10:I10" si="26">SUMIF($B5:$B7,"államigazg",H5:H7)</f>
        <v>1170</v>
      </c>
      <c r="I10" s="144">
        <f t="shared" si="26"/>
        <v>612.24</v>
      </c>
      <c r="J10" s="144">
        <f t="shared" si="25"/>
        <v>0</v>
      </c>
      <c r="K10" s="144">
        <f t="shared" ref="K10:L10" si="27">SUMIF($B5:$B7,"államigazg",K5:K7)</f>
        <v>0</v>
      </c>
      <c r="L10" s="144">
        <f t="shared" si="27"/>
        <v>0</v>
      </c>
      <c r="M10" s="144">
        <f t="shared" si="25"/>
        <v>0</v>
      </c>
      <c r="N10" s="144">
        <f t="shared" ref="N10:O10" si="28">SUMIF($B5:$B7,"államigazg",N5:N7)</f>
        <v>0</v>
      </c>
      <c r="O10" s="144">
        <f t="shared" si="28"/>
        <v>0</v>
      </c>
      <c r="P10" s="144">
        <f t="shared" si="25"/>
        <v>0</v>
      </c>
      <c r="Q10" s="144">
        <f t="shared" ref="Q10:R10" si="29">SUMIF($B5:$B7,"államigazg",Q5:Q7)</f>
        <v>0</v>
      </c>
      <c r="R10" s="144">
        <f t="shared" si="29"/>
        <v>0</v>
      </c>
      <c r="S10" s="144">
        <f t="shared" si="25"/>
        <v>0</v>
      </c>
      <c r="T10" s="144">
        <f t="shared" ref="T10:U10" si="30">SUMIF($B5:$B7,"államigazg",T5:T7)</f>
        <v>0</v>
      </c>
      <c r="U10" s="144">
        <f t="shared" si="30"/>
        <v>0</v>
      </c>
      <c r="V10" s="144">
        <f t="shared" si="25"/>
        <v>0</v>
      </c>
      <c r="W10" s="144">
        <f t="shared" ref="W10:X10" si="31">SUMIF($B5:$B7,"államigazg",W5:W7)</f>
        <v>0</v>
      </c>
      <c r="X10" s="144">
        <f t="shared" si="31"/>
        <v>0</v>
      </c>
      <c r="Y10" s="144">
        <f t="shared" si="25"/>
        <v>0</v>
      </c>
      <c r="Z10" s="144">
        <f t="shared" ref="Z10:AA10" si="32">SUMIF($B5:$B7,"államigazg",Z5:Z7)</f>
        <v>0</v>
      </c>
      <c r="AA10" s="144">
        <f t="shared" si="32"/>
        <v>0</v>
      </c>
      <c r="AB10" s="144">
        <f t="shared" si="25"/>
        <v>0</v>
      </c>
      <c r="AC10" s="144">
        <f t="shared" ref="AC10:AD10" si="33">SUMIF($B5:$B7,"államigazg",AC5:AC7)</f>
        <v>0</v>
      </c>
      <c r="AD10" s="144">
        <f t="shared" si="33"/>
        <v>0</v>
      </c>
      <c r="AE10" s="144">
        <f t="shared" si="25"/>
        <v>7170</v>
      </c>
      <c r="AF10" s="144">
        <f t="shared" ref="AF10:AH10" si="34">SUMIF($B5:$B7,"államigazg",AF5:AF7)</f>
        <v>7170</v>
      </c>
      <c r="AG10" s="144">
        <f t="shared" si="34"/>
        <v>8340</v>
      </c>
      <c r="AH10" s="144">
        <f t="shared" si="34"/>
        <v>7170</v>
      </c>
      <c r="AI10" s="144">
        <f t="shared" ref="AI10" si="35">SUMIF($B5:$B7,"államigazg",AI5:AI7)</f>
        <v>3673.4399999999996</v>
      </c>
      <c r="AJ10" s="272">
        <f t="shared" si="2"/>
        <v>0.5123347280334728</v>
      </c>
    </row>
    <row r="11" spans="1:36" x14ac:dyDescent="0.25">
      <c r="A11" s="71">
        <v>9</v>
      </c>
      <c r="B11" s="71"/>
      <c r="C11" s="80" t="s">
        <v>299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271">
        <v>17</v>
      </c>
      <c r="AF11" s="271">
        <v>17</v>
      </c>
      <c r="AG11" s="271">
        <v>17</v>
      </c>
      <c r="AH11" s="271">
        <v>17</v>
      </c>
      <c r="AI11" s="318">
        <v>16.75</v>
      </c>
      <c r="AJ11" s="273">
        <f t="shared" si="2"/>
        <v>0.98529411764705888</v>
      </c>
    </row>
    <row r="12" spans="1:36" x14ac:dyDescent="0.25">
      <c r="A12" s="71">
        <v>10</v>
      </c>
      <c r="B12" s="71"/>
      <c r="C12" s="80" t="s">
        <v>300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/>
    </row>
  </sheetData>
  <mergeCells count="12">
    <mergeCell ref="S1:AE1"/>
    <mergeCell ref="C2:AJ2"/>
    <mergeCell ref="D3:F3"/>
    <mergeCell ref="G3:I3"/>
    <mergeCell ref="J3:L3"/>
    <mergeCell ref="AB3:AD3"/>
    <mergeCell ref="AE3:AJ3"/>
    <mergeCell ref="M3:O3"/>
    <mergeCell ref="P3:R3"/>
    <mergeCell ref="S3:U3"/>
    <mergeCell ref="V3:X3"/>
    <mergeCell ref="Y3:AA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21"/>
  <sheetViews>
    <sheetView view="pageBreakPreview" zoomScaleNormal="100" zoomScaleSheetLayoutView="100" workbookViewId="0">
      <pane xSplit="3" ySplit="4" topLeftCell="R5" activePane="bottomRight" state="frozen"/>
      <selection pane="topRight" activeCell="D1" sqref="D1"/>
      <selection pane="bottomLeft" activeCell="A5" sqref="A5"/>
      <selection pane="bottomRight" activeCell="AI21" sqref="AI21"/>
    </sheetView>
  </sheetViews>
  <sheetFormatPr defaultRowHeight="15" x14ac:dyDescent="0.25"/>
  <cols>
    <col min="1" max="1" width="5.5703125" style="72" customWidth="1"/>
    <col min="2" max="2" width="14" style="89" customWidth="1"/>
    <col min="3" max="3" width="29.28515625" style="72" customWidth="1"/>
    <col min="4" max="18" width="12.28515625" style="72" customWidth="1"/>
    <col min="19" max="21" width="14.28515625" style="72" customWidth="1"/>
    <col min="22" max="31" width="12.28515625" style="72" customWidth="1"/>
    <col min="32" max="32" width="11.85546875" style="83" hidden="1" customWidth="1"/>
    <col min="33" max="33" width="12" style="72" hidden="1" customWidth="1"/>
    <col min="34" max="34" width="12.42578125" style="195" bestFit="1" customWidth="1"/>
    <col min="35" max="35" width="11.28515625" style="72" bestFit="1" customWidth="1"/>
    <col min="36" max="16384" width="9.140625" style="72"/>
  </cols>
  <sheetData>
    <row r="1" spans="1:36" x14ac:dyDescent="0.25">
      <c r="V1" s="585" t="s">
        <v>437</v>
      </c>
      <c r="W1" s="585"/>
      <c r="X1" s="585"/>
      <c r="Y1" s="585"/>
      <c r="Z1" s="585"/>
      <c r="AA1" s="585"/>
      <c r="AB1" s="585"/>
      <c r="AC1" s="585"/>
      <c r="AD1" s="585"/>
      <c r="AE1" s="585"/>
    </row>
    <row r="2" spans="1:36" ht="54" customHeight="1" x14ac:dyDescent="0.25">
      <c r="A2" s="71">
        <v>1</v>
      </c>
      <c r="B2" s="84"/>
      <c r="C2" s="590" t="s">
        <v>438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2"/>
    </row>
    <row r="3" spans="1:36" ht="30" customHeight="1" x14ac:dyDescent="0.25">
      <c r="A3" s="71">
        <v>2</v>
      </c>
      <c r="B3" s="73" t="s">
        <v>259</v>
      </c>
      <c r="C3" s="74" t="s">
        <v>203</v>
      </c>
      <c r="D3" s="587" t="s">
        <v>91</v>
      </c>
      <c r="E3" s="588"/>
      <c r="F3" s="589"/>
      <c r="G3" s="587" t="s">
        <v>274</v>
      </c>
      <c r="H3" s="588"/>
      <c r="I3" s="589"/>
      <c r="J3" s="587" t="s">
        <v>93</v>
      </c>
      <c r="K3" s="588"/>
      <c r="L3" s="589"/>
      <c r="M3" s="587" t="s">
        <v>275</v>
      </c>
      <c r="N3" s="588"/>
      <c r="O3" s="589"/>
      <c r="P3" s="587" t="s">
        <v>314</v>
      </c>
      <c r="Q3" s="588"/>
      <c r="R3" s="589"/>
      <c r="S3" s="587" t="s">
        <v>109</v>
      </c>
      <c r="T3" s="588"/>
      <c r="U3" s="589"/>
      <c r="V3" s="587" t="s">
        <v>112</v>
      </c>
      <c r="W3" s="588"/>
      <c r="X3" s="589"/>
      <c r="Y3" s="587" t="s">
        <v>278</v>
      </c>
      <c r="Z3" s="588"/>
      <c r="AA3" s="589"/>
      <c r="AB3" s="587" t="s">
        <v>298</v>
      </c>
      <c r="AC3" s="588"/>
      <c r="AD3" s="589"/>
      <c r="AE3" s="593" t="s">
        <v>246</v>
      </c>
      <c r="AF3" s="594"/>
      <c r="AG3" s="594"/>
      <c r="AH3" s="594"/>
      <c r="AI3" s="594"/>
      <c r="AJ3" s="595"/>
    </row>
    <row r="4" spans="1:36" ht="30" x14ac:dyDescent="0.25">
      <c r="A4" s="71">
        <v>3</v>
      </c>
      <c r="B4" s="84"/>
      <c r="C4" s="74" t="s">
        <v>254</v>
      </c>
      <c r="D4" s="280" t="s">
        <v>417</v>
      </c>
      <c r="E4" s="100" t="s">
        <v>412</v>
      </c>
      <c r="F4" s="102" t="s">
        <v>424</v>
      </c>
      <c r="G4" s="280" t="s">
        <v>417</v>
      </c>
      <c r="H4" s="100" t="s">
        <v>412</v>
      </c>
      <c r="I4" s="102" t="s">
        <v>424</v>
      </c>
      <c r="J4" s="280" t="s">
        <v>417</v>
      </c>
      <c r="K4" s="100" t="s">
        <v>412</v>
      </c>
      <c r="L4" s="102" t="s">
        <v>424</v>
      </c>
      <c r="M4" s="280" t="s">
        <v>417</v>
      </c>
      <c r="N4" s="100" t="s">
        <v>412</v>
      </c>
      <c r="O4" s="102" t="s">
        <v>424</v>
      </c>
      <c r="P4" s="280" t="s">
        <v>417</v>
      </c>
      <c r="Q4" s="100" t="s">
        <v>412</v>
      </c>
      <c r="R4" s="102" t="s">
        <v>424</v>
      </c>
      <c r="S4" s="280" t="s">
        <v>417</v>
      </c>
      <c r="T4" s="100" t="s">
        <v>412</v>
      </c>
      <c r="U4" s="102" t="s">
        <v>424</v>
      </c>
      <c r="V4" s="280" t="s">
        <v>417</v>
      </c>
      <c r="W4" s="100" t="s">
        <v>412</v>
      </c>
      <c r="X4" s="102" t="s">
        <v>424</v>
      </c>
      <c r="Y4" s="280" t="s">
        <v>417</v>
      </c>
      <c r="Z4" s="100" t="s">
        <v>412</v>
      </c>
      <c r="AA4" s="102" t="s">
        <v>424</v>
      </c>
      <c r="AB4" s="280" t="s">
        <v>417</v>
      </c>
      <c r="AC4" s="100" t="s">
        <v>412</v>
      </c>
      <c r="AD4" s="102" t="s">
        <v>424</v>
      </c>
      <c r="AE4" s="280" t="s">
        <v>417</v>
      </c>
      <c r="AF4" s="100" t="s">
        <v>412</v>
      </c>
      <c r="AG4" s="280" t="s">
        <v>417</v>
      </c>
      <c r="AH4" s="100" t="s">
        <v>412</v>
      </c>
      <c r="AI4" s="102" t="s">
        <v>424</v>
      </c>
      <c r="AJ4" s="102" t="s">
        <v>425</v>
      </c>
    </row>
    <row r="5" spans="1:36" x14ac:dyDescent="0.25">
      <c r="A5" s="71">
        <v>4</v>
      </c>
      <c r="B5" s="84" t="s">
        <v>211</v>
      </c>
      <c r="C5" s="85" t="s">
        <v>260</v>
      </c>
      <c r="D5" s="141">
        <v>120</v>
      </c>
      <c r="E5" s="141">
        <v>120</v>
      </c>
      <c r="F5" s="141">
        <v>60</v>
      </c>
      <c r="G5" s="141">
        <v>29</v>
      </c>
      <c r="H5" s="141">
        <v>29</v>
      </c>
      <c r="I5" s="141">
        <v>14.961</v>
      </c>
      <c r="J5" s="141">
        <v>583</v>
      </c>
      <c r="K5" s="141">
        <v>583</v>
      </c>
      <c r="L5" s="141">
        <v>159.529</v>
      </c>
      <c r="M5" s="141"/>
      <c r="N5" s="141"/>
      <c r="O5" s="141"/>
      <c r="P5" s="141">
        <v>120</v>
      </c>
      <c r="Q5" s="141">
        <v>120</v>
      </c>
      <c r="R5" s="141">
        <v>70</v>
      </c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3">
        <f>AB5+Y5+V5+S5+P5+M5+J5+G5+D5</f>
        <v>852</v>
      </c>
      <c r="AF5" s="87">
        <v>11317</v>
      </c>
      <c r="AG5" s="194">
        <v>10318</v>
      </c>
      <c r="AH5" s="196">
        <f>E5+H5+K5+N5+Q5+T5+W5+Z5+AC5</f>
        <v>852</v>
      </c>
      <c r="AI5" s="196">
        <f>F5+I5+L5+O5+R5+U5+X5+AA5+AD5</f>
        <v>304.49</v>
      </c>
      <c r="AJ5" s="273">
        <f>AI5/AH5</f>
        <v>0.35738262910798124</v>
      </c>
    </row>
    <row r="6" spans="1:36" x14ac:dyDescent="0.25">
      <c r="A6" s="71">
        <v>6</v>
      </c>
      <c r="B6" s="84" t="s">
        <v>211</v>
      </c>
      <c r="C6" s="85" t="s">
        <v>261</v>
      </c>
      <c r="D6" s="141"/>
      <c r="E6" s="141"/>
      <c r="F6" s="141"/>
      <c r="G6" s="141"/>
      <c r="H6" s="141"/>
      <c r="I6" s="141">
        <v>1.228</v>
      </c>
      <c r="J6" s="141">
        <v>321</v>
      </c>
      <c r="K6" s="141">
        <v>321</v>
      </c>
      <c r="L6" s="141">
        <v>130.011</v>
      </c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3">
        <f t="shared" ref="AE6:AE15" si="0">AB6+Y6+V6+S6+P6+M6+J6+G6+D6</f>
        <v>321</v>
      </c>
      <c r="AF6" s="87">
        <v>173</v>
      </c>
      <c r="AG6" s="194">
        <v>211</v>
      </c>
      <c r="AH6" s="196">
        <f t="shared" ref="AH6:AI16" si="1">E6+H6+K6+N6+Q6+T6+W6+Z6+AC6</f>
        <v>321</v>
      </c>
      <c r="AI6" s="196">
        <f t="shared" si="1"/>
        <v>131.239</v>
      </c>
      <c r="AJ6" s="273">
        <f t="shared" ref="AJ6:AJ20" si="2">AI6/AH6</f>
        <v>0.4088442367601246</v>
      </c>
    </row>
    <row r="7" spans="1:36" x14ac:dyDescent="0.25">
      <c r="A7" s="71">
        <v>7</v>
      </c>
      <c r="B7" s="84" t="s">
        <v>217</v>
      </c>
      <c r="C7" s="85" t="s">
        <v>262</v>
      </c>
      <c r="D7" s="141">
        <v>307</v>
      </c>
      <c r="E7" s="141">
        <v>396</v>
      </c>
      <c r="F7" s="141">
        <v>143.72499999999999</v>
      </c>
      <c r="G7" s="141">
        <v>62</v>
      </c>
      <c r="H7" s="141">
        <v>78.8</v>
      </c>
      <c r="I7" s="141">
        <v>31.102</v>
      </c>
      <c r="J7" s="141">
        <v>320</v>
      </c>
      <c r="K7" s="141">
        <v>320</v>
      </c>
      <c r="L7" s="141">
        <v>86.781000000000006</v>
      </c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3">
        <f t="shared" si="0"/>
        <v>689</v>
      </c>
      <c r="AF7" s="87">
        <v>3044</v>
      </c>
      <c r="AG7" s="194">
        <v>2528</v>
      </c>
      <c r="AH7" s="196">
        <f t="shared" si="1"/>
        <v>794.8</v>
      </c>
      <c r="AI7" s="196">
        <f t="shared" si="1"/>
        <v>261.608</v>
      </c>
      <c r="AJ7" s="273">
        <f t="shared" si="2"/>
        <v>0.32914947156517366</v>
      </c>
    </row>
    <row r="8" spans="1:36" x14ac:dyDescent="0.25">
      <c r="A8" s="71">
        <v>8</v>
      </c>
      <c r="B8" s="84" t="s">
        <v>211</v>
      </c>
      <c r="C8" s="85" t="s">
        <v>263</v>
      </c>
      <c r="D8" s="141">
        <v>6681</v>
      </c>
      <c r="E8" s="141">
        <v>6813</v>
      </c>
      <c r="F8" s="141">
        <v>3241.66</v>
      </c>
      <c r="G8" s="141">
        <v>1336</v>
      </c>
      <c r="H8" s="141">
        <v>1362</v>
      </c>
      <c r="I8" s="141">
        <v>659.90599999999995</v>
      </c>
      <c r="J8" s="141">
        <v>1521</v>
      </c>
      <c r="K8" s="141">
        <v>1521</v>
      </c>
      <c r="L8" s="141">
        <v>618.92999999999995</v>
      </c>
      <c r="M8" s="141"/>
      <c r="N8" s="141"/>
      <c r="O8" s="141"/>
      <c r="P8" s="141"/>
      <c r="Q8" s="141"/>
      <c r="R8" s="141"/>
      <c r="S8" s="141"/>
      <c r="T8" s="141"/>
      <c r="U8" s="141">
        <v>11.9</v>
      </c>
      <c r="V8" s="141"/>
      <c r="W8" s="141"/>
      <c r="X8" s="141"/>
      <c r="Y8" s="141"/>
      <c r="Z8" s="141"/>
      <c r="AA8" s="141"/>
      <c r="AB8" s="141"/>
      <c r="AC8" s="141"/>
      <c r="AD8" s="141"/>
      <c r="AE8" s="143">
        <f t="shared" si="0"/>
        <v>9538</v>
      </c>
      <c r="AF8" s="87">
        <v>6614</v>
      </c>
      <c r="AG8" s="194">
        <v>6801</v>
      </c>
      <c r="AH8" s="196">
        <f t="shared" si="1"/>
        <v>9696</v>
      </c>
      <c r="AI8" s="196">
        <f>F8+I8+L8+O8+R8+U8+X8+AA8+AD8</f>
        <v>4532.3959999999997</v>
      </c>
      <c r="AJ8" s="273">
        <f t="shared" si="2"/>
        <v>0.46745008250825082</v>
      </c>
    </row>
    <row r="9" spans="1:36" x14ac:dyDescent="0.25">
      <c r="A9" s="71">
        <v>9</v>
      </c>
      <c r="B9" s="84" t="s">
        <v>211</v>
      </c>
      <c r="C9" s="85" t="s">
        <v>264</v>
      </c>
      <c r="D9" s="141"/>
      <c r="E9" s="141"/>
      <c r="F9" s="141"/>
      <c r="G9" s="141"/>
      <c r="H9" s="141"/>
      <c r="I9" s="141"/>
      <c r="J9" s="141">
        <v>600</v>
      </c>
      <c r="K9" s="141">
        <v>600</v>
      </c>
      <c r="L9" s="141">
        <v>250</v>
      </c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3">
        <f t="shared" si="0"/>
        <v>600</v>
      </c>
      <c r="AF9" s="87">
        <v>480</v>
      </c>
      <c r="AG9" s="194">
        <v>480</v>
      </c>
      <c r="AH9" s="196">
        <f t="shared" si="1"/>
        <v>600</v>
      </c>
      <c r="AI9" s="196">
        <f t="shared" si="1"/>
        <v>250</v>
      </c>
      <c r="AJ9" s="273">
        <f t="shared" si="2"/>
        <v>0.41666666666666669</v>
      </c>
    </row>
    <row r="10" spans="1:36" x14ac:dyDescent="0.25">
      <c r="A10" s="71">
        <v>10</v>
      </c>
      <c r="B10" s="84" t="s">
        <v>217</v>
      </c>
      <c r="C10" s="85" t="s">
        <v>302</v>
      </c>
      <c r="D10" s="141">
        <v>47814</v>
      </c>
      <c r="E10" s="134">
        <v>53483.6</v>
      </c>
      <c r="F10" s="134">
        <v>24880.47</v>
      </c>
      <c r="G10" s="141">
        <v>9283</v>
      </c>
      <c r="H10" s="141">
        <v>10388.898999999999</v>
      </c>
      <c r="I10" s="141">
        <v>4949.0259999999998</v>
      </c>
      <c r="J10" s="141">
        <v>30380</v>
      </c>
      <c r="K10" s="141">
        <v>30380</v>
      </c>
      <c r="L10" s="141">
        <v>11241.814</v>
      </c>
      <c r="M10" s="141"/>
      <c r="N10" s="141"/>
      <c r="O10" s="141"/>
      <c r="P10" s="141"/>
      <c r="Q10" s="141"/>
      <c r="R10" s="141"/>
      <c r="S10" s="141">
        <v>127</v>
      </c>
      <c r="T10" s="141">
        <v>127</v>
      </c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3">
        <f t="shared" si="0"/>
        <v>87604</v>
      </c>
      <c r="AF10" s="87">
        <v>63126</v>
      </c>
      <c r="AG10" s="194">
        <f>58896+3200</f>
        <v>62096</v>
      </c>
      <c r="AH10" s="196">
        <f t="shared" si="1"/>
        <v>94379.498999999996</v>
      </c>
      <c r="AI10" s="196">
        <f t="shared" si="1"/>
        <v>41071.31</v>
      </c>
      <c r="AJ10" s="273">
        <f t="shared" si="2"/>
        <v>0.43517194343233373</v>
      </c>
    </row>
    <row r="11" spans="1:36" x14ac:dyDescent="0.25">
      <c r="A11" s="71">
        <v>11</v>
      </c>
      <c r="B11" s="84" t="s">
        <v>211</v>
      </c>
      <c r="C11" s="85" t="s">
        <v>266</v>
      </c>
      <c r="D11" s="141">
        <v>6695</v>
      </c>
      <c r="E11" s="141">
        <v>8809</v>
      </c>
      <c r="F11" s="141">
        <v>4053.413</v>
      </c>
      <c r="G11" s="141">
        <v>1314</v>
      </c>
      <c r="H11" s="141">
        <v>1729</v>
      </c>
      <c r="I11" s="141">
        <v>813.13800000000003</v>
      </c>
      <c r="J11" s="141">
        <v>2628</v>
      </c>
      <c r="K11" s="141">
        <v>2628</v>
      </c>
      <c r="L11" s="141">
        <v>1229.204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3">
        <f t="shared" si="0"/>
        <v>10637</v>
      </c>
      <c r="AF11" s="87">
        <v>9158</v>
      </c>
      <c r="AG11" s="194">
        <v>8953</v>
      </c>
      <c r="AH11" s="196">
        <f t="shared" si="1"/>
        <v>13166</v>
      </c>
      <c r="AI11" s="196">
        <f t="shared" si="1"/>
        <v>6095.7550000000001</v>
      </c>
      <c r="AJ11" s="273">
        <f t="shared" si="2"/>
        <v>0.46299217681907945</v>
      </c>
    </row>
    <row r="12" spans="1:36" x14ac:dyDescent="0.25">
      <c r="A12" s="71">
        <v>12</v>
      </c>
      <c r="B12" s="84" t="s">
        <v>211</v>
      </c>
      <c r="C12" s="85" t="s">
        <v>354</v>
      </c>
      <c r="D12" s="141">
        <v>6892</v>
      </c>
      <c r="E12" s="141">
        <v>9650</v>
      </c>
      <c r="F12" s="141">
        <v>4602.8710000000001</v>
      </c>
      <c r="G12" s="141">
        <v>1293</v>
      </c>
      <c r="H12" s="141">
        <v>1831</v>
      </c>
      <c r="I12" s="141">
        <v>935.64499999999998</v>
      </c>
      <c r="J12" s="141">
        <v>727</v>
      </c>
      <c r="K12" s="141">
        <v>727</v>
      </c>
      <c r="L12" s="141">
        <v>124.801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3">
        <f t="shared" si="0"/>
        <v>8912</v>
      </c>
      <c r="AF12" s="87">
        <v>2424</v>
      </c>
      <c r="AG12" s="194">
        <v>2678</v>
      </c>
      <c r="AH12" s="196">
        <f t="shared" si="1"/>
        <v>12208</v>
      </c>
      <c r="AI12" s="196">
        <f t="shared" si="1"/>
        <v>5663.317</v>
      </c>
      <c r="AJ12" s="273">
        <f t="shared" si="2"/>
        <v>0.46390211336828308</v>
      </c>
    </row>
    <row r="13" spans="1:36" x14ac:dyDescent="0.25">
      <c r="A13" s="71">
        <v>13</v>
      </c>
      <c r="B13" s="84" t="s">
        <v>211</v>
      </c>
      <c r="C13" s="85" t="s">
        <v>267</v>
      </c>
      <c r="D13" s="141">
        <v>3312</v>
      </c>
      <c r="E13" s="141">
        <v>3525</v>
      </c>
      <c r="F13" s="141">
        <v>1667.261</v>
      </c>
      <c r="G13" s="141">
        <v>641</v>
      </c>
      <c r="H13" s="141">
        <v>682</v>
      </c>
      <c r="I13" s="141">
        <v>335.387</v>
      </c>
      <c r="J13" s="141">
        <v>7518</v>
      </c>
      <c r="K13" s="141">
        <v>7518</v>
      </c>
      <c r="L13" s="141">
        <v>2378.1889999999999</v>
      </c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3">
        <f t="shared" si="0"/>
        <v>11471</v>
      </c>
      <c r="AF13" s="87">
        <v>15074</v>
      </c>
      <c r="AG13" s="194">
        <v>15183</v>
      </c>
      <c r="AH13" s="196">
        <f t="shared" si="1"/>
        <v>11725</v>
      </c>
      <c r="AI13" s="196">
        <f t="shared" si="1"/>
        <v>4380.8369999999995</v>
      </c>
      <c r="AJ13" s="273">
        <f t="shared" si="2"/>
        <v>0.37363215351812362</v>
      </c>
    </row>
    <row r="14" spans="1:36" x14ac:dyDescent="0.25">
      <c r="A14" s="71">
        <v>14</v>
      </c>
      <c r="B14" s="84" t="s">
        <v>211</v>
      </c>
      <c r="C14" s="85" t="s">
        <v>268</v>
      </c>
      <c r="D14" s="141">
        <v>7590</v>
      </c>
      <c r="E14" s="141">
        <v>7929</v>
      </c>
      <c r="F14" s="141">
        <v>3675.7829999999999</v>
      </c>
      <c r="G14" s="141">
        <v>1482</v>
      </c>
      <c r="H14" s="141">
        <v>1548</v>
      </c>
      <c r="I14" s="141">
        <v>737.00400000000002</v>
      </c>
      <c r="J14" s="141">
        <v>467</v>
      </c>
      <c r="K14" s="141">
        <v>467</v>
      </c>
      <c r="L14" s="141">
        <v>42.343000000000004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3">
        <f t="shared" si="0"/>
        <v>9539</v>
      </c>
      <c r="AF14" s="87">
        <v>6981</v>
      </c>
      <c r="AG14" s="194">
        <v>7395</v>
      </c>
      <c r="AH14" s="196">
        <f t="shared" si="1"/>
        <v>9944</v>
      </c>
      <c r="AI14" s="196">
        <f t="shared" si="1"/>
        <v>4455.13</v>
      </c>
      <c r="AJ14" s="273">
        <f t="shared" si="2"/>
        <v>0.44802192276749803</v>
      </c>
    </row>
    <row r="15" spans="1:36" x14ac:dyDescent="0.25">
      <c r="A15" s="71">
        <v>15</v>
      </c>
      <c r="B15" s="84" t="s">
        <v>217</v>
      </c>
      <c r="C15" s="85" t="s">
        <v>234</v>
      </c>
      <c r="D15" s="141">
        <v>1757</v>
      </c>
      <c r="E15" s="141">
        <v>1757</v>
      </c>
      <c r="F15" s="141">
        <v>846.87800000000004</v>
      </c>
      <c r="G15" s="141">
        <v>343</v>
      </c>
      <c r="H15" s="141">
        <v>343</v>
      </c>
      <c r="I15" s="141">
        <v>223.44300000000001</v>
      </c>
      <c r="J15" s="141">
        <v>462</v>
      </c>
      <c r="K15" s="141">
        <v>462</v>
      </c>
      <c r="L15" s="141">
        <v>255.06200000000001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3">
        <f t="shared" si="0"/>
        <v>2562</v>
      </c>
      <c r="AF15" s="87">
        <v>5328</v>
      </c>
      <c r="AG15" s="194">
        <v>5274</v>
      </c>
      <c r="AH15" s="196">
        <f t="shared" si="1"/>
        <v>2562</v>
      </c>
      <c r="AI15" s="196">
        <f t="shared" si="1"/>
        <v>1325.3830000000003</v>
      </c>
      <c r="AJ15" s="273">
        <f t="shared" si="2"/>
        <v>0.5173235753317722</v>
      </c>
    </row>
    <row r="16" spans="1:36" x14ac:dyDescent="0.25">
      <c r="A16" s="71">
        <v>17</v>
      </c>
      <c r="B16" s="84" t="s">
        <v>217</v>
      </c>
      <c r="C16" s="85" t="s">
        <v>269</v>
      </c>
      <c r="D16" s="141"/>
      <c r="E16" s="141"/>
      <c r="F16" s="141"/>
      <c r="G16" s="141"/>
      <c r="H16" s="141"/>
      <c r="I16" s="141"/>
      <c r="J16" s="141">
        <v>1430</v>
      </c>
      <c r="K16" s="141">
        <v>1430</v>
      </c>
      <c r="L16" s="141">
        <v>511.04199999999997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3">
        <f>AB16+Y16+V16+S16+P16+M16+J16+G16+D16</f>
        <v>1430</v>
      </c>
      <c r="AF16" s="87"/>
      <c r="AG16" s="194">
        <v>1722</v>
      </c>
      <c r="AH16" s="196">
        <f t="shared" si="1"/>
        <v>1430</v>
      </c>
      <c r="AI16" s="196">
        <f t="shared" si="1"/>
        <v>511.04199999999997</v>
      </c>
      <c r="AJ16" s="273">
        <f t="shared" si="2"/>
        <v>0.35737202797202794</v>
      </c>
    </row>
    <row r="17" spans="1:36" x14ac:dyDescent="0.25">
      <c r="A17" s="71">
        <v>18</v>
      </c>
      <c r="B17" s="84"/>
      <c r="C17" s="235" t="s">
        <v>257</v>
      </c>
      <c r="D17" s="143">
        <f t="shared" ref="D17:AH17" si="3">SUM(D5:D16)</f>
        <v>81168</v>
      </c>
      <c r="E17" s="143">
        <f t="shared" ref="E17:F17" si="4">SUM(E5:E16)</f>
        <v>92482.6</v>
      </c>
      <c r="F17" s="516">
        <f t="shared" si="4"/>
        <v>43172.061000000002</v>
      </c>
      <c r="G17" s="143">
        <f t="shared" si="3"/>
        <v>15783</v>
      </c>
      <c r="H17" s="143">
        <f t="shared" ref="H17:I17" si="5">SUM(H5:H16)</f>
        <v>17991.699000000001</v>
      </c>
      <c r="I17" s="516">
        <f t="shared" si="5"/>
        <v>8700.8399999999983</v>
      </c>
      <c r="J17" s="143">
        <f t="shared" si="3"/>
        <v>46957</v>
      </c>
      <c r="K17" s="143">
        <f t="shared" ref="K17:L17" si="6">SUM(K5:K16)</f>
        <v>46957</v>
      </c>
      <c r="L17" s="516">
        <f t="shared" si="6"/>
        <v>17027.706000000002</v>
      </c>
      <c r="M17" s="143">
        <f t="shared" si="3"/>
        <v>0</v>
      </c>
      <c r="N17" s="143">
        <f t="shared" ref="N17:O17" si="7">SUM(N5:N16)</f>
        <v>0</v>
      </c>
      <c r="O17" s="143">
        <f t="shared" si="7"/>
        <v>0</v>
      </c>
      <c r="P17" s="143">
        <f t="shared" si="3"/>
        <v>120</v>
      </c>
      <c r="Q17" s="143">
        <f t="shared" ref="Q17:R17" si="8">SUM(Q5:Q16)</f>
        <v>120</v>
      </c>
      <c r="R17" s="516">
        <f t="shared" si="8"/>
        <v>70</v>
      </c>
      <c r="S17" s="143">
        <f t="shared" si="3"/>
        <v>127</v>
      </c>
      <c r="T17" s="143">
        <f t="shared" ref="T17:U17" si="9">SUM(T5:T16)</f>
        <v>127</v>
      </c>
      <c r="U17" s="516">
        <f t="shared" si="9"/>
        <v>11.9</v>
      </c>
      <c r="V17" s="143">
        <f t="shared" si="3"/>
        <v>0</v>
      </c>
      <c r="W17" s="143">
        <f t="shared" ref="W17:X17" si="10">SUM(W5:W16)</f>
        <v>0</v>
      </c>
      <c r="X17" s="143">
        <f t="shared" si="10"/>
        <v>0</v>
      </c>
      <c r="Y17" s="143">
        <f t="shared" si="3"/>
        <v>0</v>
      </c>
      <c r="Z17" s="143">
        <f t="shared" ref="Z17:AA17" si="11">SUM(Z5:Z16)</f>
        <v>0</v>
      </c>
      <c r="AA17" s="143">
        <f t="shared" si="11"/>
        <v>0</v>
      </c>
      <c r="AB17" s="143">
        <f t="shared" si="3"/>
        <v>0</v>
      </c>
      <c r="AC17" s="143">
        <f t="shared" ref="AC17:AD17" si="12">SUM(AC5:AC16)</f>
        <v>0</v>
      </c>
      <c r="AD17" s="143">
        <f t="shared" si="12"/>
        <v>0</v>
      </c>
      <c r="AE17" s="143">
        <f t="shared" si="3"/>
        <v>144155</v>
      </c>
      <c r="AF17" s="143">
        <f t="shared" si="3"/>
        <v>123719</v>
      </c>
      <c r="AG17" s="143">
        <f t="shared" si="3"/>
        <v>123639</v>
      </c>
      <c r="AH17" s="143">
        <f t="shared" si="3"/>
        <v>157678.299</v>
      </c>
      <c r="AI17" s="516">
        <f t="shared" ref="AI17" si="13">SUM(AI5:AI16)</f>
        <v>68982.506999999998</v>
      </c>
      <c r="AJ17" s="273">
        <f t="shared" si="2"/>
        <v>0.43748890898423504</v>
      </c>
    </row>
    <row r="18" spans="1:36" x14ac:dyDescent="0.25">
      <c r="A18" s="71">
        <v>19</v>
      </c>
      <c r="B18" s="84"/>
      <c r="C18" s="80" t="s">
        <v>242</v>
      </c>
      <c r="D18" s="144">
        <f>SUMIF($B5:$B16,"kötelező",D5:D16)</f>
        <v>31290</v>
      </c>
      <c r="E18" s="144">
        <f>SUMIF($B5:$B16,"kötelező",E5:E16)</f>
        <v>36846</v>
      </c>
      <c r="F18" s="144">
        <f>SUMIF($B5:$B16,"kötelező",F5:F16)</f>
        <v>17300.988000000001</v>
      </c>
      <c r="G18" s="144">
        <f t="shared" ref="G18:AH18" si="14">SUMIF($B5:$B15,"kötelező",G5:G15)</f>
        <v>6095</v>
      </c>
      <c r="H18" s="144">
        <f t="shared" ref="H18:I18" si="15">SUMIF($B5:$B15,"kötelező",H5:H15)</f>
        <v>7181</v>
      </c>
      <c r="I18" s="144">
        <f t="shared" si="15"/>
        <v>3497.2689999999998</v>
      </c>
      <c r="J18" s="144">
        <f t="shared" si="14"/>
        <v>14365</v>
      </c>
      <c r="K18" s="144">
        <f t="shared" ref="K18:L18" si="16">SUMIF($B5:$B15,"kötelező",K5:K15)</f>
        <v>14365</v>
      </c>
      <c r="L18" s="144">
        <f t="shared" si="16"/>
        <v>4933.0069999999996</v>
      </c>
      <c r="M18" s="144">
        <f t="shared" si="14"/>
        <v>0</v>
      </c>
      <c r="N18" s="144">
        <f t="shared" ref="N18:O18" si="17">SUMIF($B5:$B15,"kötelező",N5:N15)</f>
        <v>0</v>
      </c>
      <c r="O18" s="144">
        <f t="shared" si="17"/>
        <v>0</v>
      </c>
      <c r="P18" s="144">
        <f t="shared" si="14"/>
        <v>120</v>
      </c>
      <c r="Q18" s="144">
        <f t="shared" ref="Q18:R18" si="18">SUMIF($B5:$B15,"kötelező",Q5:Q15)</f>
        <v>120</v>
      </c>
      <c r="R18" s="144">
        <f t="shared" si="18"/>
        <v>70</v>
      </c>
      <c r="S18" s="144">
        <f t="shared" si="14"/>
        <v>0</v>
      </c>
      <c r="T18" s="144">
        <f t="shared" ref="T18:U18" si="19">SUMIF($B5:$B15,"kötelező",T5:T15)</f>
        <v>0</v>
      </c>
      <c r="U18" s="144">
        <f t="shared" si="19"/>
        <v>11.9</v>
      </c>
      <c r="V18" s="144">
        <f t="shared" si="14"/>
        <v>0</v>
      </c>
      <c r="W18" s="144">
        <f t="shared" ref="W18:X18" si="20">SUMIF($B5:$B15,"kötelező",W5:W15)</f>
        <v>0</v>
      </c>
      <c r="X18" s="144">
        <f t="shared" si="20"/>
        <v>0</v>
      </c>
      <c r="Y18" s="144">
        <f t="shared" si="14"/>
        <v>0</v>
      </c>
      <c r="Z18" s="144">
        <f t="shared" ref="Z18:AA18" si="21">SUMIF($B5:$B15,"kötelező",Z5:Z15)</f>
        <v>0</v>
      </c>
      <c r="AA18" s="144">
        <f t="shared" si="21"/>
        <v>0</v>
      </c>
      <c r="AB18" s="144">
        <f t="shared" si="14"/>
        <v>0</v>
      </c>
      <c r="AC18" s="144">
        <f t="shared" ref="AC18:AD18" si="22">SUMIF($B5:$B15,"kötelező",AC5:AC15)</f>
        <v>0</v>
      </c>
      <c r="AD18" s="144">
        <f t="shared" si="22"/>
        <v>0</v>
      </c>
      <c r="AE18" s="144">
        <f t="shared" si="14"/>
        <v>51870</v>
      </c>
      <c r="AF18" s="144">
        <f t="shared" si="14"/>
        <v>52221</v>
      </c>
      <c r="AG18" s="144">
        <f t="shared" si="14"/>
        <v>52019</v>
      </c>
      <c r="AH18" s="144">
        <f t="shared" si="14"/>
        <v>58512</v>
      </c>
      <c r="AI18" s="144">
        <f t="shared" ref="AI18" si="23">SUMIF($B5:$B15,"kötelező",AI5:AI15)</f>
        <v>25813.164000000001</v>
      </c>
      <c r="AJ18" s="272">
        <f t="shared" si="2"/>
        <v>0.44116017227235438</v>
      </c>
    </row>
    <row r="19" spans="1:36" x14ac:dyDescent="0.25">
      <c r="A19" s="71">
        <v>20</v>
      </c>
      <c r="B19" s="84"/>
      <c r="C19" s="80" t="s">
        <v>243</v>
      </c>
      <c r="D19" s="144">
        <f t="shared" ref="D19:AH19" si="24">SUMIF($B5:$B16,"nem kötelező",D5:D16)</f>
        <v>49878</v>
      </c>
      <c r="E19" s="144">
        <f t="shared" ref="E19:F19" si="25">SUMIF($B5:$B16,"nem kötelező",E5:E16)</f>
        <v>55636.6</v>
      </c>
      <c r="F19" s="144">
        <f t="shared" si="25"/>
        <v>25871.073</v>
      </c>
      <c r="G19" s="144">
        <f t="shared" si="24"/>
        <v>9688</v>
      </c>
      <c r="H19" s="144">
        <f t="shared" ref="H19:I19" si="26">SUMIF($B5:$B16,"nem kötelező",H5:H16)</f>
        <v>10810.698999999999</v>
      </c>
      <c r="I19" s="144">
        <f t="shared" si="26"/>
        <v>5203.5709999999999</v>
      </c>
      <c r="J19" s="144">
        <f t="shared" si="24"/>
        <v>32592</v>
      </c>
      <c r="K19" s="144">
        <f t="shared" ref="K19:L19" si="27">SUMIF($B5:$B16,"nem kötelező",K5:K16)</f>
        <v>32592</v>
      </c>
      <c r="L19" s="144">
        <f t="shared" si="27"/>
        <v>12094.699000000001</v>
      </c>
      <c r="M19" s="144">
        <f t="shared" si="24"/>
        <v>0</v>
      </c>
      <c r="N19" s="144">
        <f t="shared" ref="N19:O19" si="28">SUMIF($B5:$B16,"nem kötelező",N5:N16)</f>
        <v>0</v>
      </c>
      <c r="O19" s="144">
        <f t="shared" si="28"/>
        <v>0</v>
      </c>
      <c r="P19" s="144">
        <f t="shared" si="24"/>
        <v>0</v>
      </c>
      <c r="Q19" s="144">
        <f t="shared" ref="Q19:R19" si="29">SUMIF($B5:$B16,"nem kötelező",Q5:Q16)</f>
        <v>0</v>
      </c>
      <c r="R19" s="144">
        <f t="shared" si="29"/>
        <v>0</v>
      </c>
      <c r="S19" s="144">
        <f t="shared" si="24"/>
        <v>127</v>
      </c>
      <c r="T19" s="144">
        <f t="shared" ref="T19:U19" si="30">SUMIF($B5:$B16,"nem kötelező",T5:T16)</f>
        <v>127</v>
      </c>
      <c r="U19" s="144">
        <f t="shared" si="30"/>
        <v>0</v>
      </c>
      <c r="V19" s="144">
        <f t="shared" si="24"/>
        <v>0</v>
      </c>
      <c r="W19" s="144">
        <f t="shared" ref="W19:X19" si="31">SUMIF($B5:$B16,"nem kötelező",W5:W16)</f>
        <v>0</v>
      </c>
      <c r="X19" s="144">
        <f t="shared" si="31"/>
        <v>0</v>
      </c>
      <c r="Y19" s="144">
        <f t="shared" si="24"/>
        <v>0</v>
      </c>
      <c r="Z19" s="144">
        <f t="shared" ref="Z19:AA19" si="32">SUMIF($B5:$B16,"nem kötelező",Z5:Z16)</f>
        <v>0</v>
      </c>
      <c r="AA19" s="144">
        <f t="shared" si="32"/>
        <v>0</v>
      </c>
      <c r="AB19" s="144">
        <f t="shared" si="24"/>
        <v>0</v>
      </c>
      <c r="AC19" s="144">
        <f t="shared" ref="AC19:AD19" si="33">SUMIF($B5:$B16,"nem kötelező",AC5:AC16)</f>
        <v>0</v>
      </c>
      <c r="AD19" s="144">
        <f t="shared" si="33"/>
        <v>0</v>
      </c>
      <c r="AE19" s="144">
        <f t="shared" si="24"/>
        <v>92285</v>
      </c>
      <c r="AF19" s="144">
        <f t="shared" si="24"/>
        <v>71498</v>
      </c>
      <c r="AG19" s="144">
        <f t="shared" si="24"/>
        <v>71620</v>
      </c>
      <c r="AH19" s="144">
        <f t="shared" si="24"/>
        <v>99166.298999999999</v>
      </c>
      <c r="AI19" s="144">
        <f t="shared" ref="AI19" si="34">SUMIF($B5:$B16,"nem kötelező",AI5:AI16)</f>
        <v>43169.343000000001</v>
      </c>
      <c r="AJ19" s="272">
        <f t="shared" si="2"/>
        <v>0.43532271986877319</v>
      </c>
    </row>
    <row r="20" spans="1:36" x14ac:dyDescent="0.25">
      <c r="A20" s="71">
        <v>21</v>
      </c>
      <c r="B20" s="84"/>
      <c r="C20" s="80" t="s">
        <v>303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>
        <v>31</v>
      </c>
      <c r="AF20" s="88">
        <v>30</v>
      </c>
      <c r="AG20" s="88">
        <v>30</v>
      </c>
      <c r="AH20" s="88">
        <v>31</v>
      </c>
      <c r="AI20" s="318">
        <v>32.049999999999997</v>
      </c>
      <c r="AJ20" s="273">
        <f t="shared" si="2"/>
        <v>1.0338709677419353</v>
      </c>
    </row>
    <row r="21" spans="1:36" x14ac:dyDescent="0.25">
      <c r="A21" s="71">
        <v>22</v>
      </c>
      <c r="B21" s="84"/>
      <c r="C21" s="80" t="s">
        <v>300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>
        <v>0</v>
      </c>
      <c r="AF21" s="87">
        <v>0</v>
      </c>
      <c r="AG21" s="87">
        <v>0</v>
      </c>
      <c r="AH21" s="87">
        <v>0</v>
      </c>
      <c r="AI21" s="80"/>
      <c r="AJ21" s="80"/>
    </row>
  </sheetData>
  <mergeCells count="12">
    <mergeCell ref="V1:AE1"/>
    <mergeCell ref="C2:AJ2"/>
    <mergeCell ref="D3:F3"/>
    <mergeCell ref="G3:I3"/>
    <mergeCell ref="J3:L3"/>
    <mergeCell ref="AB3:AD3"/>
    <mergeCell ref="AE3:AJ3"/>
    <mergeCell ref="M3:O3"/>
    <mergeCell ref="P3:R3"/>
    <mergeCell ref="S3:U3"/>
    <mergeCell ref="V3:X3"/>
    <mergeCell ref="Y3:AA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1"/>
  <sheetViews>
    <sheetView view="pageBreakPreview" topLeftCell="Q1" zoomScaleNormal="100" zoomScaleSheetLayoutView="100" workbookViewId="0">
      <selection activeCell="U17" sqref="U17"/>
    </sheetView>
  </sheetViews>
  <sheetFormatPr defaultRowHeight="15" x14ac:dyDescent="0.25"/>
  <cols>
    <col min="1" max="1" width="9.140625" style="72"/>
    <col min="2" max="2" width="14" style="89" customWidth="1"/>
    <col min="3" max="3" width="29.42578125" style="72" bestFit="1" customWidth="1"/>
    <col min="4" max="18" width="12.7109375" style="72" customWidth="1"/>
    <col min="19" max="21" width="14.42578125" style="72" customWidth="1"/>
    <col min="22" max="31" width="12.7109375" style="72" customWidth="1"/>
    <col min="32" max="32" width="0" style="72" hidden="1" customWidth="1"/>
    <col min="33" max="33" width="11.28515625" style="72" hidden="1" customWidth="1"/>
    <col min="34" max="35" width="11.28515625" style="72" bestFit="1" customWidth="1"/>
    <col min="36" max="16384" width="9.140625" style="72"/>
  </cols>
  <sheetData>
    <row r="1" spans="1:36" x14ac:dyDescent="0.25">
      <c r="V1" s="585" t="s">
        <v>439</v>
      </c>
      <c r="W1" s="585"/>
      <c r="X1" s="585"/>
      <c r="Y1" s="585"/>
      <c r="Z1" s="585"/>
      <c r="AA1" s="585"/>
      <c r="AB1" s="585"/>
      <c r="AC1" s="585"/>
      <c r="AD1" s="585"/>
      <c r="AE1" s="585"/>
    </row>
    <row r="2" spans="1:36" ht="57" customHeight="1" x14ac:dyDescent="0.25">
      <c r="A2" s="71">
        <v>1</v>
      </c>
      <c r="B2" s="84"/>
      <c r="C2" s="586" t="s">
        <v>440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</row>
    <row r="3" spans="1:36" ht="56.25" customHeight="1" x14ac:dyDescent="0.25">
      <c r="A3" s="71">
        <v>2</v>
      </c>
      <c r="B3" s="73" t="s">
        <v>259</v>
      </c>
      <c r="C3" s="74" t="s">
        <v>203</v>
      </c>
      <c r="D3" s="587" t="s">
        <v>91</v>
      </c>
      <c r="E3" s="588"/>
      <c r="F3" s="589"/>
      <c r="G3" s="587" t="s">
        <v>274</v>
      </c>
      <c r="H3" s="588"/>
      <c r="I3" s="589"/>
      <c r="J3" s="587" t="s">
        <v>93</v>
      </c>
      <c r="K3" s="588"/>
      <c r="L3" s="589"/>
      <c r="M3" s="587" t="s">
        <v>275</v>
      </c>
      <c r="N3" s="588"/>
      <c r="O3" s="589"/>
      <c r="P3" s="587" t="s">
        <v>95</v>
      </c>
      <c r="Q3" s="588"/>
      <c r="R3" s="589"/>
      <c r="S3" s="587" t="s">
        <v>109</v>
      </c>
      <c r="T3" s="588"/>
      <c r="U3" s="589"/>
      <c r="V3" s="587" t="s">
        <v>112</v>
      </c>
      <c r="W3" s="588"/>
      <c r="X3" s="589"/>
      <c r="Y3" s="587" t="s">
        <v>278</v>
      </c>
      <c r="Z3" s="588"/>
      <c r="AA3" s="589"/>
      <c r="AB3" s="587" t="s">
        <v>298</v>
      </c>
      <c r="AC3" s="588"/>
      <c r="AD3" s="589"/>
      <c r="AE3" s="596" t="s">
        <v>246</v>
      </c>
      <c r="AF3" s="596"/>
      <c r="AG3" s="596"/>
      <c r="AH3" s="596"/>
      <c r="AI3" s="596"/>
      <c r="AJ3" s="596"/>
    </row>
    <row r="4" spans="1:36" ht="30" x14ac:dyDescent="0.25">
      <c r="A4" s="71">
        <v>3</v>
      </c>
      <c r="B4" s="84"/>
      <c r="C4" s="212" t="s">
        <v>254</v>
      </c>
      <c r="D4" s="75" t="s">
        <v>417</v>
      </c>
      <c r="E4" s="102" t="s">
        <v>412</v>
      </c>
      <c r="F4" s="102" t="s">
        <v>424</v>
      </c>
      <c r="G4" s="75" t="s">
        <v>417</v>
      </c>
      <c r="H4" s="102" t="s">
        <v>412</v>
      </c>
      <c r="I4" s="102" t="s">
        <v>424</v>
      </c>
      <c r="J4" s="75" t="s">
        <v>417</v>
      </c>
      <c r="K4" s="102" t="s">
        <v>412</v>
      </c>
      <c r="L4" s="102" t="s">
        <v>424</v>
      </c>
      <c r="M4" s="75" t="s">
        <v>417</v>
      </c>
      <c r="N4" s="102" t="s">
        <v>412</v>
      </c>
      <c r="O4" s="102" t="s">
        <v>424</v>
      </c>
      <c r="P4" s="75" t="s">
        <v>417</v>
      </c>
      <c r="Q4" s="102" t="s">
        <v>412</v>
      </c>
      <c r="R4" s="102" t="s">
        <v>424</v>
      </c>
      <c r="S4" s="75" t="s">
        <v>417</v>
      </c>
      <c r="T4" s="102" t="s">
        <v>412</v>
      </c>
      <c r="U4" s="102" t="s">
        <v>424</v>
      </c>
      <c r="V4" s="75" t="s">
        <v>417</v>
      </c>
      <c r="W4" s="102" t="s">
        <v>412</v>
      </c>
      <c r="X4" s="102" t="s">
        <v>424</v>
      </c>
      <c r="Y4" s="75" t="s">
        <v>417</v>
      </c>
      <c r="Z4" s="102" t="s">
        <v>412</v>
      </c>
      <c r="AA4" s="102" t="s">
        <v>424</v>
      </c>
      <c r="AB4" s="75" t="s">
        <v>417</v>
      </c>
      <c r="AC4" s="102" t="s">
        <v>412</v>
      </c>
      <c r="AD4" s="102" t="s">
        <v>424</v>
      </c>
      <c r="AE4" s="276" t="s">
        <v>417</v>
      </c>
      <c r="AF4" s="241" t="s">
        <v>412</v>
      </c>
      <c r="AG4" s="276" t="s">
        <v>417</v>
      </c>
      <c r="AH4" s="241" t="s">
        <v>412</v>
      </c>
      <c r="AI4" s="241" t="s">
        <v>424</v>
      </c>
      <c r="AJ4" s="102" t="s">
        <v>425</v>
      </c>
    </row>
    <row r="5" spans="1:36" x14ac:dyDescent="0.25">
      <c r="A5" s="71">
        <v>4</v>
      </c>
      <c r="B5" s="90" t="s">
        <v>211</v>
      </c>
      <c r="C5" s="85" t="s">
        <v>270</v>
      </c>
      <c r="D5" s="141">
        <v>76101</v>
      </c>
      <c r="E5" s="141">
        <v>76409.899999999994</v>
      </c>
      <c r="F5" s="141">
        <v>35513.027999999998</v>
      </c>
      <c r="G5" s="141">
        <v>14932</v>
      </c>
      <c r="H5" s="141">
        <v>14989.5</v>
      </c>
      <c r="I5" s="141">
        <v>7170.6509999999998</v>
      </c>
      <c r="J5" s="141">
        <v>6238</v>
      </c>
      <c r="K5" s="141">
        <v>6294</v>
      </c>
      <c r="L5" s="141">
        <v>2155.7710000000002</v>
      </c>
      <c r="M5" s="141"/>
      <c r="N5" s="141"/>
      <c r="O5" s="141"/>
      <c r="P5" s="141">
        <v>127</v>
      </c>
      <c r="Q5" s="141">
        <v>127</v>
      </c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3">
        <f>D5+G5+J5+M5+P5+S5+V5+Y5</f>
        <v>97398</v>
      </c>
      <c r="AF5" s="143">
        <f>E5+H5+K5+N5+Q5+T5+W5+Z5</f>
        <v>97820.4</v>
      </c>
      <c r="AG5" s="143">
        <f t="shared" ref="AG5:AG6" si="0">G5+J5+M5+P5+S5+V5+Y5+AB5</f>
        <v>21297</v>
      </c>
      <c r="AH5" s="143">
        <f>E5+H5+K5+N5+Q5+T5+W5+Z5</f>
        <v>97820.4</v>
      </c>
      <c r="AI5" s="143">
        <f>F5+I5+L5+O5+R5+U5+X5+AA5</f>
        <v>44839.45</v>
      </c>
      <c r="AJ5" s="273">
        <f>AI5/AH5</f>
        <v>0.4583854696975273</v>
      </c>
    </row>
    <row r="6" spans="1:36" ht="25.5" x14ac:dyDescent="0.25">
      <c r="A6" s="71">
        <v>5</v>
      </c>
      <c r="B6" s="90" t="s">
        <v>217</v>
      </c>
      <c r="C6" s="277" t="s">
        <v>304</v>
      </c>
      <c r="D6" s="141">
        <v>125</v>
      </c>
      <c r="E6" s="141">
        <v>125</v>
      </c>
      <c r="F6" s="141"/>
      <c r="G6" s="141">
        <v>20</v>
      </c>
      <c r="H6" s="141">
        <v>20</v>
      </c>
      <c r="I6" s="141"/>
      <c r="J6" s="141">
        <v>25</v>
      </c>
      <c r="K6" s="141">
        <v>25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3">
        <f>D6+G6+J6+M6+P6+S6+V6+Y6</f>
        <v>170</v>
      </c>
      <c r="AF6" s="143">
        <f>E6+H6+K6+N6+Q6+T6+W6+Z6</f>
        <v>170</v>
      </c>
      <c r="AG6" s="143">
        <f t="shared" si="0"/>
        <v>45</v>
      </c>
      <c r="AH6" s="143">
        <f>E6+H6+K6+N6+Q6+T6+W6+Z6</f>
        <v>170</v>
      </c>
      <c r="AI6" s="143">
        <f>F6+I6+L6+O6+R6+U6+X6+AA6</f>
        <v>0</v>
      </c>
      <c r="AJ6" s="273">
        <f t="shared" ref="AJ6:AJ10" si="1">AI6/AH6</f>
        <v>0</v>
      </c>
    </row>
    <row r="7" spans="1:36" x14ac:dyDescent="0.25">
      <c r="A7" s="71">
        <v>6</v>
      </c>
      <c r="B7" s="90"/>
      <c r="C7" s="235" t="s">
        <v>257</v>
      </c>
      <c r="D7" s="143">
        <f t="shared" ref="D7:AE7" si="2">SUM(D5:D6)</f>
        <v>76226</v>
      </c>
      <c r="E7" s="143">
        <f t="shared" si="2"/>
        <v>76534.899999999994</v>
      </c>
      <c r="F7" s="516">
        <f t="shared" si="2"/>
        <v>35513.027999999998</v>
      </c>
      <c r="G7" s="143">
        <f t="shared" si="2"/>
        <v>14952</v>
      </c>
      <c r="H7" s="143">
        <f t="shared" si="2"/>
        <v>15009.5</v>
      </c>
      <c r="I7" s="516">
        <f t="shared" ref="I7" si="3">SUM(I5:I6)</f>
        <v>7170.6509999999998</v>
      </c>
      <c r="J7" s="143">
        <f t="shared" si="2"/>
        <v>6263</v>
      </c>
      <c r="K7" s="143">
        <f t="shared" ref="K7:L7" si="4">SUM(K5:K6)</f>
        <v>6319</v>
      </c>
      <c r="L7" s="516">
        <f t="shared" si="4"/>
        <v>2155.7710000000002</v>
      </c>
      <c r="M7" s="143">
        <f t="shared" si="2"/>
        <v>0</v>
      </c>
      <c r="N7" s="143">
        <f t="shared" ref="N7:O7" si="5">SUM(N5:N6)</f>
        <v>0</v>
      </c>
      <c r="O7" s="143">
        <f t="shared" si="5"/>
        <v>0</v>
      </c>
      <c r="P7" s="143">
        <f t="shared" si="2"/>
        <v>127</v>
      </c>
      <c r="Q7" s="143">
        <f t="shared" ref="Q7:R7" si="6">SUM(Q5:Q6)</f>
        <v>127</v>
      </c>
      <c r="R7" s="143">
        <f t="shared" si="6"/>
        <v>0</v>
      </c>
      <c r="S7" s="143">
        <f t="shared" si="2"/>
        <v>0</v>
      </c>
      <c r="T7" s="143">
        <f t="shared" ref="T7:U7" si="7">SUM(T5:T6)</f>
        <v>0</v>
      </c>
      <c r="U7" s="143">
        <f t="shared" si="7"/>
        <v>0</v>
      </c>
      <c r="V7" s="143">
        <f t="shared" si="2"/>
        <v>0</v>
      </c>
      <c r="W7" s="143">
        <f t="shared" ref="W7:X7" si="8">SUM(W5:W6)</f>
        <v>0</v>
      </c>
      <c r="X7" s="143">
        <f t="shared" si="8"/>
        <v>0</v>
      </c>
      <c r="Y7" s="143">
        <f t="shared" si="2"/>
        <v>0</v>
      </c>
      <c r="Z7" s="143">
        <f t="shared" ref="Z7:AA7" si="9">SUM(Z5:Z6)</f>
        <v>0</v>
      </c>
      <c r="AA7" s="143">
        <f t="shared" si="9"/>
        <v>0</v>
      </c>
      <c r="AB7" s="143">
        <f t="shared" si="2"/>
        <v>0</v>
      </c>
      <c r="AC7" s="143">
        <f t="shared" ref="AC7:AD7" si="10">SUM(AC5:AC6)</f>
        <v>0</v>
      </c>
      <c r="AD7" s="143">
        <f t="shared" si="10"/>
        <v>0</v>
      </c>
      <c r="AE7" s="143">
        <f t="shared" si="2"/>
        <v>97568</v>
      </c>
      <c r="AF7" s="143">
        <f t="shared" ref="AF7:AH7" si="11">SUM(AF5:AF6)</f>
        <v>97990.399999999994</v>
      </c>
      <c r="AG7" s="143">
        <f t="shared" si="11"/>
        <v>21342</v>
      </c>
      <c r="AH7" s="143">
        <f t="shared" si="11"/>
        <v>97990.399999999994</v>
      </c>
      <c r="AI7" s="516">
        <f t="shared" ref="AI7" si="12">SUM(AI5:AI6)</f>
        <v>44839.45</v>
      </c>
      <c r="AJ7" s="273">
        <f t="shared" si="1"/>
        <v>0.45759023332897919</v>
      </c>
    </row>
    <row r="8" spans="1:36" x14ac:dyDescent="0.25">
      <c r="A8" s="71">
        <v>7</v>
      </c>
      <c r="B8" s="90"/>
      <c r="C8" s="81" t="s">
        <v>242</v>
      </c>
      <c r="D8" s="144">
        <f t="shared" ref="D8:AE8" si="13">SUMIF($B5:$B6,"kötelező",D5:D6)</f>
        <v>76101</v>
      </c>
      <c r="E8" s="144">
        <f t="shared" si="13"/>
        <v>76409.899999999994</v>
      </c>
      <c r="F8" s="144">
        <f t="shared" ref="F8" si="14">SUMIF($B5:$B6,"kötelező",F5:F6)</f>
        <v>35513.027999999998</v>
      </c>
      <c r="G8" s="144">
        <f t="shared" si="13"/>
        <v>14932</v>
      </c>
      <c r="H8" s="144">
        <f t="shared" si="13"/>
        <v>14989.5</v>
      </c>
      <c r="I8" s="144">
        <f t="shared" ref="I8" si="15">SUMIF($B5:$B6,"kötelező",I5:I6)</f>
        <v>7170.6509999999998</v>
      </c>
      <c r="J8" s="144">
        <f t="shared" si="13"/>
        <v>6238</v>
      </c>
      <c r="K8" s="144">
        <f t="shared" ref="K8:L8" si="16">SUMIF($B5:$B6,"kötelező",K5:K6)</f>
        <v>6294</v>
      </c>
      <c r="L8" s="144">
        <f t="shared" si="16"/>
        <v>2155.7710000000002</v>
      </c>
      <c r="M8" s="144">
        <f t="shared" si="13"/>
        <v>0</v>
      </c>
      <c r="N8" s="144">
        <f t="shared" ref="N8:O8" si="17">SUMIF($B5:$B6,"kötelező",N5:N6)</f>
        <v>0</v>
      </c>
      <c r="O8" s="144">
        <f t="shared" si="17"/>
        <v>0</v>
      </c>
      <c r="P8" s="144">
        <f t="shared" si="13"/>
        <v>127</v>
      </c>
      <c r="Q8" s="144">
        <f t="shared" ref="Q8:R8" si="18">SUMIF($B5:$B6,"kötelező",Q5:Q6)</f>
        <v>127</v>
      </c>
      <c r="R8" s="144">
        <f t="shared" si="18"/>
        <v>0</v>
      </c>
      <c r="S8" s="144">
        <f t="shared" si="13"/>
        <v>0</v>
      </c>
      <c r="T8" s="144">
        <f t="shared" ref="T8:U8" si="19">SUMIF($B5:$B6,"kötelező",T5:T6)</f>
        <v>0</v>
      </c>
      <c r="U8" s="144">
        <f t="shared" si="19"/>
        <v>0</v>
      </c>
      <c r="V8" s="144">
        <f t="shared" si="13"/>
        <v>0</v>
      </c>
      <c r="W8" s="144">
        <f t="shared" ref="W8:X8" si="20">SUMIF($B5:$B6,"kötelező",W5:W6)</f>
        <v>0</v>
      </c>
      <c r="X8" s="144">
        <f t="shared" si="20"/>
        <v>0</v>
      </c>
      <c r="Y8" s="144">
        <f t="shared" si="13"/>
        <v>0</v>
      </c>
      <c r="Z8" s="144">
        <f t="shared" ref="Z8:AA8" si="21">SUMIF($B5:$B6,"kötelező",Z5:Z6)</f>
        <v>0</v>
      </c>
      <c r="AA8" s="144">
        <f t="shared" si="21"/>
        <v>0</v>
      </c>
      <c r="AB8" s="144">
        <f t="shared" si="13"/>
        <v>0</v>
      </c>
      <c r="AC8" s="144">
        <f t="shared" ref="AC8:AD8" si="22">SUMIF($B5:$B6,"kötelező",AC5:AC6)</f>
        <v>0</v>
      </c>
      <c r="AD8" s="144">
        <f t="shared" si="22"/>
        <v>0</v>
      </c>
      <c r="AE8" s="144">
        <f t="shared" si="13"/>
        <v>97398</v>
      </c>
      <c r="AF8" s="144">
        <f t="shared" ref="AF8:AH8" si="23">SUMIF($B5:$B6,"kötelező",AF5:AF6)</f>
        <v>97820.4</v>
      </c>
      <c r="AG8" s="144">
        <f t="shared" si="23"/>
        <v>21297</v>
      </c>
      <c r="AH8" s="144">
        <f t="shared" si="23"/>
        <v>97820.4</v>
      </c>
      <c r="AI8" s="144">
        <f t="shared" ref="AI8" si="24">SUMIF($B5:$B6,"kötelező",AI5:AI6)</f>
        <v>44839.45</v>
      </c>
      <c r="AJ8" s="272">
        <f t="shared" si="1"/>
        <v>0.4583854696975273</v>
      </c>
    </row>
    <row r="9" spans="1:36" x14ac:dyDescent="0.25">
      <c r="A9" s="71">
        <v>8</v>
      </c>
      <c r="B9" s="90"/>
      <c r="C9" s="81" t="s">
        <v>243</v>
      </c>
      <c r="D9" s="144">
        <f t="shared" ref="D9:AE9" si="25">SUMIF($B5:$B6,"nem kötelező",D5:D6)</f>
        <v>125</v>
      </c>
      <c r="E9" s="144">
        <f t="shared" si="25"/>
        <v>125</v>
      </c>
      <c r="F9" s="144">
        <f t="shared" ref="F9" si="26">SUMIF($B5:$B6,"nem kötelező",F5:F6)</f>
        <v>0</v>
      </c>
      <c r="G9" s="144">
        <f t="shared" si="25"/>
        <v>20</v>
      </c>
      <c r="H9" s="144">
        <f t="shared" si="25"/>
        <v>20</v>
      </c>
      <c r="I9" s="144">
        <f t="shared" ref="I9" si="27">SUMIF($B5:$B6,"nem kötelező",I5:I6)</f>
        <v>0</v>
      </c>
      <c r="J9" s="144">
        <f t="shared" si="25"/>
        <v>25</v>
      </c>
      <c r="K9" s="144">
        <f t="shared" ref="K9:L9" si="28">SUMIF($B5:$B6,"nem kötelező",K5:K6)</f>
        <v>25</v>
      </c>
      <c r="L9" s="144">
        <f t="shared" si="28"/>
        <v>0</v>
      </c>
      <c r="M9" s="144">
        <f t="shared" si="25"/>
        <v>0</v>
      </c>
      <c r="N9" s="144">
        <f t="shared" ref="N9:O9" si="29">SUMIF($B5:$B6,"nem kötelező",N5:N6)</f>
        <v>0</v>
      </c>
      <c r="O9" s="144">
        <f t="shared" si="29"/>
        <v>0</v>
      </c>
      <c r="P9" s="144">
        <f t="shared" si="25"/>
        <v>0</v>
      </c>
      <c r="Q9" s="144">
        <f t="shared" ref="Q9:R9" si="30">SUMIF($B5:$B6,"nem kötelező",Q5:Q6)</f>
        <v>0</v>
      </c>
      <c r="R9" s="144">
        <f t="shared" si="30"/>
        <v>0</v>
      </c>
      <c r="S9" s="144">
        <f t="shared" si="25"/>
        <v>0</v>
      </c>
      <c r="T9" s="144">
        <f t="shared" ref="T9:U9" si="31">SUMIF($B5:$B6,"nem kötelező",T5:T6)</f>
        <v>0</v>
      </c>
      <c r="U9" s="144">
        <f t="shared" si="31"/>
        <v>0</v>
      </c>
      <c r="V9" s="144">
        <f t="shared" si="25"/>
        <v>0</v>
      </c>
      <c r="W9" s="144">
        <f t="shared" ref="W9:X9" si="32">SUMIF($B5:$B6,"nem kötelező",W5:W6)</f>
        <v>0</v>
      </c>
      <c r="X9" s="144">
        <f t="shared" si="32"/>
        <v>0</v>
      </c>
      <c r="Y9" s="144">
        <f t="shared" si="25"/>
        <v>0</v>
      </c>
      <c r="Z9" s="144">
        <f t="shared" ref="Z9:AA9" si="33">SUMIF($B5:$B6,"nem kötelező",Z5:Z6)</f>
        <v>0</v>
      </c>
      <c r="AA9" s="144">
        <f t="shared" si="33"/>
        <v>0</v>
      </c>
      <c r="AB9" s="144">
        <f t="shared" si="25"/>
        <v>0</v>
      </c>
      <c r="AC9" s="144">
        <f t="shared" ref="AC9:AD9" si="34">SUMIF($B5:$B6,"nem kötelező",AC5:AC6)</f>
        <v>0</v>
      </c>
      <c r="AD9" s="144">
        <f t="shared" si="34"/>
        <v>0</v>
      </c>
      <c r="AE9" s="144">
        <f t="shared" si="25"/>
        <v>170</v>
      </c>
      <c r="AF9" s="144">
        <f t="shared" ref="AF9:AH9" si="35">SUMIF($B5:$B6,"nem kötelező",AF5:AF6)</f>
        <v>170</v>
      </c>
      <c r="AG9" s="144">
        <f t="shared" si="35"/>
        <v>45</v>
      </c>
      <c r="AH9" s="144">
        <f t="shared" si="35"/>
        <v>170</v>
      </c>
      <c r="AI9" s="144">
        <f t="shared" ref="AI9" si="36">SUMIF($B5:$B6,"nem kötelező",AI5:AI6)</f>
        <v>0</v>
      </c>
      <c r="AJ9" s="272">
        <f t="shared" si="1"/>
        <v>0</v>
      </c>
    </row>
    <row r="10" spans="1:36" x14ac:dyDescent="0.25">
      <c r="A10" s="71">
        <v>9</v>
      </c>
      <c r="B10" s="90"/>
      <c r="C10" s="91" t="s">
        <v>305</v>
      </c>
      <c r="D10" s="86"/>
      <c r="E10" s="86"/>
      <c r="F10" s="86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>
        <v>23</v>
      </c>
      <c r="AF10" s="93">
        <v>23</v>
      </c>
      <c r="AG10" s="93">
        <v>23</v>
      </c>
      <c r="AH10" s="93">
        <v>23</v>
      </c>
      <c r="AI10" s="318">
        <v>23</v>
      </c>
      <c r="AJ10" s="273">
        <f t="shared" si="1"/>
        <v>1</v>
      </c>
    </row>
    <row r="11" spans="1:36" x14ac:dyDescent="0.25">
      <c r="A11" s="71">
        <v>10</v>
      </c>
      <c r="B11" s="90"/>
      <c r="C11" s="81" t="s">
        <v>300</v>
      </c>
      <c r="D11" s="86"/>
      <c r="E11" s="86"/>
      <c r="F11" s="86"/>
      <c r="G11" s="92"/>
      <c r="H11" s="92"/>
      <c r="I11" s="92"/>
      <c r="J11" s="86"/>
      <c r="K11" s="86"/>
      <c r="L11" s="86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80"/>
    </row>
  </sheetData>
  <mergeCells count="12">
    <mergeCell ref="V1:AE1"/>
    <mergeCell ref="D3:F3"/>
    <mergeCell ref="G3:I3"/>
    <mergeCell ref="J3:L3"/>
    <mergeCell ref="M3:O3"/>
    <mergeCell ref="AE3:AJ3"/>
    <mergeCell ref="C2:AJ2"/>
    <mergeCell ref="P3:R3"/>
    <mergeCell ref="S3:U3"/>
    <mergeCell ref="V3:X3"/>
    <mergeCell ref="Y3:AA3"/>
    <mergeCell ref="AB3:AD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16"/>
  <sheetViews>
    <sheetView view="pageBreakPreview" zoomScaleNormal="100" zoomScaleSheetLayoutView="100" workbookViewId="0">
      <pane xSplit="3" ySplit="4" topLeftCell="S5" activePane="bottomRight" state="frozen"/>
      <selection pane="topRight" activeCell="D1" sqref="D1"/>
      <selection pane="bottomLeft" activeCell="A5" sqref="A5"/>
      <selection pane="bottomRight" activeCell="AI16" sqref="AI16"/>
    </sheetView>
  </sheetViews>
  <sheetFormatPr defaultRowHeight="15" x14ac:dyDescent="0.25"/>
  <cols>
    <col min="1" max="1" width="5.5703125" style="72" customWidth="1"/>
    <col min="2" max="2" width="14" style="89" customWidth="1"/>
    <col min="3" max="3" width="29.28515625" style="72" customWidth="1"/>
    <col min="4" max="18" width="12.28515625" style="72" customWidth="1"/>
    <col min="19" max="21" width="14.28515625" style="72" customWidth="1"/>
    <col min="22" max="31" width="12.28515625" style="72" customWidth="1"/>
    <col min="32" max="32" width="11.85546875" style="83" hidden="1" customWidth="1"/>
    <col min="33" max="33" width="12" style="72" hidden="1" customWidth="1"/>
    <col min="34" max="34" width="11.28515625" style="72" bestFit="1" customWidth="1"/>
    <col min="35" max="35" width="10.140625" style="72" bestFit="1" customWidth="1"/>
    <col min="36" max="16384" width="9.140625" style="72"/>
  </cols>
  <sheetData>
    <row r="1" spans="1:36" x14ac:dyDescent="0.25">
      <c r="V1" s="585" t="s">
        <v>441</v>
      </c>
      <c r="W1" s="585"/>
      <c r="X1" s="585"/>
      <c r="Y1" s="585"/>
      <c r="Z1" s="585"/>
      <c r="AA1" s="585"/>
      <c r="AB1" s="585"/>
      <c r="AC1" s="585"/>
      <c r="AD1" s="585"/>
      <c r="AE1" s="585"/>
    </row>
    <row r="2" spans="1:36" ht="56.25" customHeight="1" x14ac:dyDescent="0.25">
      <c r="A2" s="71">
        <v>1</v>
      </c>
      <c r="B2" s="84"/>
      <c r="C2" s="586" t="s">
        <v>442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</row>
    <row r="3" spans="1:36" ht="93" customHeight="1" x14ac:dyDescent="0.25">
      <c r="A3" s="71">
        <v>2</v>
      </c>
      <c r="B3" s="73" t="s">
        <v>259</v>
      </c>
      <c r="C3" s="242" t="s">
        <v>203</v>
      </c>
      <c r="D3" s="587" t="s">
        <v>91</v>
      </c>
      <c r="E3" s="588"/>
      <c r="F3" s="589"/>
      <c r="G3" s="587" t="s">
        <v>274</v>
      </c>
      <c r="H3" s="588"/>
      <c r="I3" s="589"/>
      <c r="J3" s="587" t="s">
        <v>93</v>
      </c>
      <c r="K3" s="588"/>
      <c r="L3" s="589"/>
      <c r="M3" s="587" t="s">
        <v>275</v>
      </c>
      <c r="N3" s="588"/>
      <c r="O3" s="589"/>
      <c r="P3" s="587" t="s">
        <v>314</v>
      </c>
      <c r="Q3" s="588"/>
      <c r="R3" s="589"/>
      <c r="S3" s="587" t="s">
        <v>109</v>
      </c>
      <c r="T3" s="588"/>
      <c r="U3" s="589"/>
      <c r="V3" s="587" t="s">
        <v>112</v>
      </c>
      <c r="W3" s="588"/>
      <c r="X3" s="589"/>
      <c r="Y3" s="587" t="s">
        <v>278</v>
      </c>
      <c r="Z3" s="588"/>
      <c r="AA3" s="589"/>
      <c r="AB3" s="587" t="s">
        <v>298</v>
      </c>
      <c r="AC3" s="588"/>
      <c r="AD3" s="589"/>
      <c r="AE3" s="593" t="s">
        <v>246</v>
      </c>
      <c r="AF3" s="594"/>
      <c r="AG3" s="594"/>
      <c r="AH3" s="594"/>
      <c r="AI3" s="594"/>
      <c r="AJ3" s="595"/>
    </row>
    <row r="4" spans="1:36" ht="30" x14ac:dyDescent="0.25">
      <c r="A4" s="71">
        <v>3</v>
      </c>
      <c r="B4" s="84"/>
      <c r="C4" s="212" t="s">
        <v>254</v>
      </c>
      <c r="D4" s="75" t="s">
        <v>443</v>
      </c>
      <c r="E4" s="102" t="s">
        <v>412</v>
      </c>
      <c r="F4" s="102" t="s">
        <v>424</v>
      </c>
      <c r="G4" s="75" t="s">
        <v>443</v>
      </c>
      <c r="H4" s="102" t="s">
        <v>412</v>
      </c>
      <c r="I4" s="102" t="s">
        <v>424</v>
      </c>
      <c r="J4" s="75" t="s">
        <v>443</v>
      </c>
      <c r="K4" s="102" t="s">
        <v>412</v>
      </c>
      <c r="L4" s="102" t="s">
        <v>424</v>
      </c>
      <c r="M4" s="75" t="s">
        <v>443</v>
      </c>
      <c r="N4" s="102" t="s">
        <v>412</v>
      </c>
      <c r="O4" s="102" t="s">
        <v>424</v>
      </c>
      <c r="P4" s="75" t="s">
        <v>443</v>
      </c>
      <c r="Q4" s="102" t="s">
        <v>412</v>
      </c>
      <c r="R4" s="102" t="s">
        <v>424</v>
      </c>
      <c r="S4" s="75" t="s">
        <v>443</v>
      </c>
      <c r="T4" s="102" t="s">
        <v>412</v>
      </c>
      <c r="U4" s="102" t="s">
        <v>424</v>
      </c>
      <c r="V4" s="75" t="s">
        <v>443</v>
      </c>
      <c r="W4" s="102" t="s">
        <v>412</v>
      </c>
      <c r="X4" s="102" t="s">
        <v>424</v>
      </c>
      <c r="Y4" s="75" t="s">
        <v>443</v>
      </c>
      <c r="Z4" s="102" t="s">
        <v>412</v>
      </c>
      <c r="AA4" s="102" t="s">
        <v>424</v>
      </c>
      <c r="AB4" s="75" t="s">
        <v>443</v>
      </c>
      <c r="AC4" s="102" t="s">
        <v>412</v>
      </c>
      <c r="AD4" s="102" t="s">
        <v>424</v>
      </c>
      <c r="AE4" s="75" t="s">
        <v>443</v>
      </c>
      <c r="AF4" s="51" t="s">
        <v>255</v>
      </c>
      <c r="AG4" s="211" t="s">
        <v>301</v>
      </c>
      <c r="AH4" s="102" t="s">
        <v>412</v>
      </c>
      <c r="AI4" s="102" t="s">
        <v>424</v>
      </c>
      <c r="AJ4" s="102" t="s">
        <v>425</v>
      </c>
    </row>
    <row r="5" spans="1:36" x14ac:dyDescent="0.25">
      <c r="A5" s="71">
        <v>4</v>
      </c>
      <c r="B5" s="84" t="s">
        <v>211</v>
      </c>
      <c r="C5" s="85" t="s">
        <v>348</v>
      </c>
      <c r="D5" s="141">
        <v>9919</v>
      </c>
      <c r="E5" s="141">
        <v>10583.53</v>
      </c>
      <c r="F5" s="141">
        <v>4325.0940000000001</v>
      </c>
      <c r="G5" s="141">
        <v>1784</v>
      </c>
      <c r="H5" s="141">
        <v>1913.5830000000001</v>
      </c>
      <c r="I5" s="141">
        <v>738.62300000000005</v>
      </c>
      <c r="J5" s="141">
        <v>4268</v>
      </c>
      <c r="K5" s="141">
        <v>4462.2039999999997</v>
      </c>
      <c r="L5" s="141">
        <v>2162.0439999999999</v>
      </c>
      <c r="M5" s="141"/>
      <c r="N5" s="141"/>
      <c r="O5" s="141"/>
      <c r="P5" s="141"/>
      <c r="Q5" s="141"/>
      <c r="R5" s="141"/>
      <c r="S5" s="141">
        <v>127</v>
      </c>
      <c r="T5" s="141">
        <v>127</v>
      </c>
      <c r="U5" s="141">
        <v>112.714</v>
      </c>
      <c r="V5" s="141"/>
      <c r="W5" s="141"/>
      <c r="X5" s="141"/>
      <c r="Y5" s="141"/>
      <c r="Z5" s="141"/>
      <c r="AA5" s="141"/>
      <c r="AB5" s="141"/>
      <c r="AC5" s="141"/>
      <c r="AD5" s="141"/>
      <c r="AE5" s="143">
        <f>AB5+Y5+V5+S5+P5+M5+J5+G5+D5</f>
        <v>16098</v>
      </c>
      <c r="AF5" s="143">
        <f>AC5+Z5+W5+T5+Q5+N5+K5+H5+E5</f>
        <v>17086.317000000003</v>
      </c>
      <c r="AG5" s="143">
        <f t="shared" ref="AG5" si="0">AE5+AB5+Y5+V5+S5+P5+M5+J5+G5</f>
        <v>22277</v>
      </c>
      <c r="AH5" s="143">
        <f>E5+H5+K5+N5+Q5+T5+W5+Z5+AC5</f>
        <v>17086.317000000003</v>
      </c>
      <c r="AI5" s="131">
        <f>F5+I5+L5+O5+R5+U5+X5+AA5+AD5</f>
        <v>7338.4750000000004</v>
      </c>
      <c r="AJ5" s="273">
        <f>AI5/AH5</f>
        <v>0.42949425554963067</v>
      </c>
    </row>
    <row r="6" spans="1:36" x14ac:dyDescent="0.25">
      <c r="A6" s="71">
        <v>6</v>
      </c>
      <c r="B6" s="84" t="s">
        <v>217</v>
      </c>
      <c r="C6" s="85" t="s">
        <v>349</v>
      </c>
      <c r="D6" s="141"/>
      <c r="E6" s="141"/>
      <c r="F6" s="141"/>
      <c r="G6" s="141"/>
      <c r="H6" s="141"/>
      <c r="I6" s="141"/>
      <c r="J6" s="141">
        <v>75</v>
      </c>
      <c r="K6" s="141">
        <v>75</v>
      </c>
      <c r="L6" s="141">
        <v>17.032</v>
      </c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3">
        <f t="shared" ref="AE6:AE11" si="1">AB6+Y6+V6+S6+P6+M6+J6+G6+D6</f>
        <v>75</v>
      </c>
      <c r="AF6" s="87">
        <v>173</v>
      </c>
      <c r="AG6" s="194">
        <v>211</v>
      </c>
      <c r="AH6" s="143">
        <f t="shared" ref="AH6:AI11" si="2">E6+H6+K6+N6+Q6+T6+W6+Z6+AC6</f>
        <v>75</v>
      </c>
      <c r="AI6" s="131">
        <f t="shared" si="2"/>
        <v>17.032</v>
      </c>
      <c r="AJ6" s="273">
        <f t="shared" ref="AJ6:AJ15" si="3">AI6/AH6</f>
        <v>0.22709333333333334</v>
      </c>
    </row>
    <row r="7" spans="1:36" x14ac:dyDescent="0.25">
      <c r="A7" s="71">
        <v>7</v>
      </c>
      <c r="B7" s="84" t="s">
        <v>217</v>
      </c>
      <c r="C7" s="85" t="s">
        <v>350</v>
      </c>
      <c r="D7" s="141"/>
      <c r="E7" s="141"/>
      <c r="F7" s="141"/>
      <c r="G7" s="141"/>
      <c r="H7" s="141"/>
      <c r="I7" s="141"/>
      <c r="J7" s="141">
        <v>1028</v>
      </c>
      <c r="K7" s="141">
        <v>1028</v>
      </c>
      <c r="L7" s="141">
        <v>452.12799999999999</v>
      </c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3">
        <f t="shared" si="1"/>
        <v>1028</v>
      </c>
      <c r="AF7" s="87">
        <v>3044</v>
      </c>
      <c r="AG7" s="194">
        <v>2528</v>
      </c>
      <c r="AH7" s="143">
        <f t="shared" si="2"/>
        <v>1028</v>
      </c>
      <c r="AI7" s="143">
        <f t="shared" si="2"/>
        <v>452.12799999999999</v>
      </c>
      <c r="AJ7" s="273">
        <f t="shared" si="3"/>
        <v>0.43981322957198443</v>
      </c>
    </row>
    <row r="8" spans="1:36" x14ac:dyDescent="0.25">
      <c r="A8" s="71">
        <v>8</v>
      </c>
      <c r="B8" s="84" t="s">
        <v>217</v>
      </c>
      <c r="C8" s="85" t="s">
        <v>351</v>
      </c>
      <c r="D8" s="141">
        <v>1389</v>
      </c>
      <c r="E8" s="141">
        <v>1389</v>
      </c>
      <c r="F8" s="141"/>
      <c r="G8" s="141">
        <v>527</v>
      </c>
      <c r="H8" s="141">
        <v>527</v>
      </c>
      <c r="I8" s="141"/>
      <c r="J8" s="141">
        <v>774</v>
      </c>
      <c r="K8" s="141">
        <v>774</v>
      </c>
      <c r="L8" s="141">
        <v>47.069000000000003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3">
        <f t="shared" si="1"/>
        <v>2690</v>
      </c>
      <c r="AF8" s="87">
        <v>6614</v>
      </c>
      <c r="AG8" s="194">
        <v>6801</v>
      </c>
      <c r="AH8" s="143">
        <f t="shared" si="2"/>
        <v>2690</v>
      </c>
      <c r="AI8" s="143">
        <f t="shared" si="2"/>
        <v>47.069000000000003</v>
      </c>
      <c r="AJ8" s="273">
        <f t="shared" si="3"/>
        <v>1.7497769516728625E-2</v>
      </c>
    </row>
    <row r="9" spans="1:36" x14ac:dyDescent="0.25">
      <c r="A9" s="71">
        <v>9</v>
      </c>
      <c r="B9" s="84" t="s">
        <v>217</v>
      </c>
      <c r="C9" s="85" t="s">
        <v>464</v>
      </c>
      <c r="D9" s="141">
        <v>74</v>
      </c>
      <c r="E9" s="141">
        <v>74</v>
      </c>
      <c r="F9" s="141"/>
      <c r="G9" s="141"/>
      <c r="H9" s="141"/>
      <c r="I9" s="141"/>
      <c r="J9" s="141">
        <v>140</v>
      </c>
      <c r="K9" s="141">
        <v>140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3">
        <f t="shared" si="1"/>
        <v>214</v>
      </c>
      <c r="AF9" s="87">
        <v>480</v>
      </c>
      <c r="AG9" s="194">
        <v>480</v>
      </c>
      <c r="AH9" s="143">
        <f t="shared" si="2"/>
        <v>214</v>
      </c>
      <c r="AI9" s="143">
        <f t="shared" si="2"/>
        <v>0</v>
      </c>
      <c r="AJ9" s="273">
        <f t="shared" si="3"/>
        <v>0</v>
      </c>
    </row>
    <row r="10" spans="1:36" x14ac:dyDescent="0.25">
      <c r="A10" s="71"/>
      <c r="B10" s="84" t="s">
        <v>217</v>
      </c>
      <c r="C10" s="85" t="s">
        <v>465</v>
      </c>
      <c r="D10" s="141"/>
      <c r="E10" s="141"/>
      <c r="F10" s="141"/>
      <c r="G10" s="141"/>
      <c r="H10" s="141"/>
      <c r="I10" s="141"/>
      <c r="J10" s="141">
        <v>15158</v>
      </c>
      <c r="K10" s="141">
        <v>15158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3">
        <f t="shared" si="1"/>
        <v>15158</v>
      </c>
      <c r="AF10" s="87"/>
      <c r="AG10" s="194"/>
      <c r="AH10" s="143">
        <f t="shared" si="2"/>
        <v>15158</v>
      </c>
      <c r="AI10" s="143">
        <f t="shared" si="2"/>
        <v>0</v>
      </c>
      <c r="AJ10" s="273">
        <f t="shared" si="3"/>
        <v>0</v>
      </c>
    </row>
    <row r="11" spans="1:36" x14ac:dyDescent="0.25">
      <c r="A11" s="71">
        <v>10</v>
      </c>
      <c r="B11" s="84" t="s">
        <v>217</v>
      </c>
      <c r="C11" s="85" t="s">
        <v>352</v>
      </c>
      <c r="D11" s="141">
        <v>68</v>
      </c>
      <c r="E11" s="141">
        <v>68</v>
      </c>
      <c r="F11" s="141"/>
      <c r="G11" s="141"/>
      <c r="H11" s="141"/>
      <c r="I11" s="141"/>
      <c r="J11" s="141">
        <v>10924</v>
      </c>
      <c r="K11" s="141">
        <v>10924</v>
      </c>
      <c r="L11" s="141">
        <v>1.405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3">
        <f t="shared" si="1"/>
        <v>10992</v>
      </c>
      <c r="AF11" s="87"/>
      <c r="AG11" s="194"/>
      <c r="AH11" s="143">
        <f t="shared" si="2"/>
        <v>10992</v>
      </c>
      <c r="AI11" s="143">
        <f t="shared" si="2"/>
        <v>1.405</v>
      </c>
      <c r="AJ11" s="273">
        <f t="shared" si="3"/>
        <v>1.2782023289665211E-4</v>
      </c>
    </row>
    <row r="12" spans="1:36" x14ac:dyDescent="0.25">
      <c r="A12" s="71">
        <v>11</v>
      </c>
      <c r="B12" s="84"/>
      <c r="C12" s="234" t="s">
        <v>257</v>
      </c>
      <c r="D12" s="143">
        <f t="shared" ref="D12:G12" si="4">SUM(D5:D9)</f>
        <v>11382</v>
      </c>
      <c r="E12" s="143">
        <f>SUM(E5:E11)</f>
        <v>12114.53</v>
      </c>
      <c r="F12" s="516">
        <f>SUM(F5:F11)</f>
        <v>4325.0940000000001</v>
      </c>
      <c r="G12" s="143">
        <f t="shared" si="4"/>
        <v>2311</v>
      </c>
      <c r="H12" s="143">
        <f t="shared" ref="H12:I12" si="5">SUM(H5:H9)</f>
        <v>2440.5830000000001</v>
      </c>
      <c r="I12" s="516">
        <f t="shared" si="5"/>
        <v>738.62300000000005</v>
      </c>
      <c r="J12" s="143">
        <f>SUM(J5:J11)</f>
        <v>32367</v>
      </c>
      <c r="K12" s="143">
        <f>SUM(K5:K11)</f>
        <v>32561.203999999998</v>
      </c>
      <c r="L12" s="516">
        <f t="shared" ref="L12:AH12" si="6">SUM(L5:L11)</f>
        <v>2679.6780000000003</v>
      </c>
      <c r="M12" s="143">
        <f t="shared" si="6"/>
        <v>0</v>
      </c>
      <c r="N12" s="143">
        <f t="shared" si="6"/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43">
        <f t="shared" si="6"/>
        <v>0</v>
      </c>
      <c r="S12" s="143">
        <f t="shared" si="6"/>
        <v>127</v>
      </c>
      <c r="T12" s="143">
        <f t="shared" si="6"/>
        <v>127</v>
      </c>
      <c r="U12" s="516">
        <f t="shared" si="6"/>
        <v>112.714</v>
      </c>
      <c r="V12" s="143">
        <f t="shared" si="6"/>
        <v>0</v>
      </c>
      <c r="W12" s="143">
        <f t="shared" si="6"/>
        <v>0</v>
      </c>
      <c r="X12" s="143">
        <f t="shared" si="6"/>
        <v>0</v>
      </c>
      <c r="Y12" s="143">
        <f t="shared" si="6"/>
        <v>0</v>
      </c>
      <c r="Z12" s="143">
        <f t="shared" si="6"/>
        <v>0</v>
      </c>
      <c r="AA12" s="143">
        <f t="shared" si="6"/>
        <v>0</v>
      </c>
      <c r="AB12" s="143">
        <f t="shared" si="6"/>
        <v>0</v>
      </c>
      <c r="AC12" s="143">
        <f t="shared" si="6"/>
        <v>0</v>
      </c>
      <c r="AD12" s="143">
        <f t="shared" si="6"/>
        <v>0</v>
      </c>
      <c r="AE12" s="143">
        <f t="shared" si="6"/>
        <v>46255</v>
      </c>
      <c r="AF12" s="143">
        <f t="shared" si="6"/>
        <v>27397.317000000003</v>
      </c>
      <c r="AG12" s="143">
        <f t="shared" si="6"/>
        <v>32297</v>
      </c>
      <c r="AH12" s="143">
        <f t="shared" si="6"/>
        <v>47243.317000000003</v>
      </c>
      <c r="AI12" s="516">
        <f>SUM(AI5:AI11)</f>
        <v>7856.1090000000004</v>
      </c>
      <c r="AJ12" s="273">
        <f t="shared" si="3"/>
        <v>0.16629037711302108</v>
      </c>
    </row>
    <row r="13" spans="1:36" x14ac:dyDescent="0.25">
      <c r="A13" s="71">
        <v>12</v>
      </c>
      <c r="B13" s="84"/>
      <c r="C13" s="80" t="s">
        <v>242</v>
      </c>
      <c r="D13" s="144">
        <f>SUMIF($B5:$B11,"kötelező",D5:D11)</f>
        <v>9919</v>
      </c>
      <c r="E13" s="144">
        <f t="shared" ref="E13:AH13" si="7">SUMIF($B5:$B11,"kötelező",E5:E11)</f>
        <v>10583.53</v>
      </c>
      <c r="F13" s="144">
        <f t="shared" si="7"/>
        <v>4325.0940000000001</v>
      </c>
      <c r="G13" s="144">
        <f t="shared" si="7"/>
        <v>1784</v>
      </c>
      <c r="H13" s="144">
        <f t="shared" si="7"/>
        <v>1913.5830000000001</v>
      </c>
      <c r="I13" s="144">
        <f t="shared" si="7"/>
        <v>738.62300000000005</v>
      </c>
      <c r="J13" s="144">
        <f t="shared" si="7"/>
        <v>4268</v>
      </c>
      <c r="K13" s="144">
        <f t="shared" si="7"/>
        <v>4462.2039999999997</v>
      </c>
      <c r="L13" s="144">
        <f t="shared" si="7"/>
        <v>2162.0439999999999</v>
      </c>
      <c r="M13" s="144">
        <f t="shared" si="7"/>
        <v>0</v>
      </c>
      <c r="N13" s="144">
        <f t="shared" si="7"/>
        <v>0</v>
      </c>
      <c r="O13" s="144">
        <f t="shared" si="7"/>
        <v>0</v>
      </c>
      <c r="P13" s="144">
        <f t="shared" si="7"/>
        <v>0</v>
      </c>
      <c r="Q13" s="144">
        <f t="shared" si="7"/>
        <v>0</v>
      </c>
      <c r="R13" s="144">
        <f t="shared" si="7"/>
        <v>0</v>
      </c>
      <c r="S13" s="144">
        <f t="shared" si="7"/>
        <v>127</v>
      </c>
      <c r="T13" s="144">
        <f t="shared" si="7"/>
        <v>127</v>
      </c>
      <c r="U13" s="144">
        <f t="shared" si="7"/>
        <v>112.714</v>
      </c>
      <c r="V13" s="144">
        <f t="shared" si="7"/>
        <v>0</v>
      </c>
      <c r="W13" s="144">
        <f t="shared" si="7"/>
        <v>0</v>
      </c>
      <c r="X13" s="144">
        <f t="shared" si="7"/>
        <v>0</v>
      </c>
      <c r="Y13" s="144">
        <f t="shared" si="7"/>
        <v>0</v>
      </c>
      <c r="Z13" s="144">
        <f t="shared" si="7"/>
        <v>0</v>
      </c>
      <c r="AA13" s="144">
        <f t="shared" si="7"/>
        <v>0</v>
      </c>
      <c r="AB13" s="144">
        <f t="shared" si="7"/>
        <v>0</v>
      </c>
      <c r="AC13" s="144">
        <f t="shared" si="7"/>
        <v>0</v>
      </c>
      <c r="AD13" s="144">
        <f t="shared" si="7"/>
        <v>0</v>
      </c>
      <c r="AE13" s="144">
        <f t="shared" si="7"/>
        <v>16098</v>
      </c>
      <c r="AF13" s="144">
        <f t="shared" si="7"/>
        <v>17086.317000000003</v>
      </c>
      <c r="AG13" s="144">
        <f t="shared" si="7"/>
        <v>22277</v>
      </c>
      <c r="AH13" s="144">
        <f t="shared" si="7"/>
        <v>17086.317000000003</v>
      </c>
      <c r="AI13" s="144">
        <f>SUMIF($B5:$B11,"kötelező",AI5:AI11)</f>
        <v>7338.4750000000004</v>
      </c>
      <c r="AJ13" s="272">
        <f>AI13/AH13</f>
        <v>0.42949425554963067</v>
      </c>
    </row>
    <row r="14" spans="1:36" x14ac:dyDescent="0.25">
      <c r="A14" s="71">
        <v>13</v>
      </c>
      <c r="B14" s="84"/>
      <c r="C14" s="80" t="s">
        <v>243</v>
      </c>
      <c r="D14" s="144">
        <f>SUMIF($B5:$B11,"nem kötelező",D5:D11)</f>
        <v>1531</v>
      </c>
      <c r="E14" s="144">
        <f t="shared" ref="E14:AH14" si="8">SUMIF($B5:$B11,"nem kötelező",E5:E11)</f>
        <v>1531</v>
      </c>
      <c r="F14" s="144">
        <f t="shared" si="8"/>
        <v>0</v>
      </c>
      <c r="G14" s="144">
        <f t="shared" si="8"/>
        <v>527</v>
      </c>
      <c r="H14" s="144">
        <f t="shared" si="8"/>
        <v>527</v>
      </c>
      <c r="I14" s="144">
        <f t="shared" si="8"/>
        <v>0</v>
      </c>
      <c r="J14" s="144">
        <f t="shared" si="8"/>
        <v>28099</v>
      </c>
      <c r="K14" s="144">
        <f t="shared" si="8"/>
        <v>28099</v>
      </c>
      <c r="L14" s="144">
        <f t="shared" si="8"/>
        <v>517.6339999999999</v>
      </c>
      <c r="M14" s="144">
        <f t="shared" si="8"/>
        <v>0</v>
      </c>
      <c r="N14" s="144">
        <f t="shared" si="8"/>
        <v>0</v>
      </c>
      <c r="O14" s="144">
        <f t="shared" si="8"/>
        <v>0</v>
      </c>
      <c r="P14" s="144">
        <f t="shared" si="8"/>
        <v>0</v>
      </c>
      <c r="Q14" s="144">
        <f t="shared" si="8"/>
        <v>0</v>
      </c>
      <c r="R14" s="144">
        <f t="shared" si="8"/>
        <v>0</v>
      </c>
      <c r="S14" s="144">
        <f t="shared" si="8"/>
        <v>0</v>
      </c>
      <c r="T14" s="144">
        <f t="shared" si="8"/>
        <v>0</v>
      </c>
      <c r="U14" s="144">
        <f t="shared" si="8"/>
        <v>0</v>
      </c>
      <c r="V14" s="144">
        <f t="shared" si="8"/>
        <v>0</v>
      </c>
      <c r="W14" s="144">
        <f t="shared" si="8"/>
        <v>0</v>
      </c>
      <c r="X14" s="144">
        <f t="shared" si="8"/>
        <v>0</v>
      </c>
      <c r="Y14" s="144">
        <f t="shared" si="8"/>
        <v>0</v>
      </c>
      <c r="Z14" s="144">
        <f t="shared" si="8"/>
        <v>0</v>
      </c>
      <c r="AA14" s="144">
        <f t="shared" si="8"/>
        <v>0</v>
      </c>
      <c r="AB14" s="144">
        <f t="shared" si="8"/>
        <v>0</v>
      </c>
      <c r="AC14" s="144">
        <f t="shared" si="8"/>
        <v>0</v>
      </c>
      <c r="AD14" s="144">
        <f t="shared" si="8"/>
        <v>0</v>
      </c>
      <c r="AE14" s="144">
        <f t="shared" si="8"/>
        <v>30157</v>
      </c>
      <c r="AF14" s="144">
        <f t="shared" si="8"/>
        <v>10311</v>
      </c>
      <c r="AG14" s="144">
        <f t="shared" si="8"/>
        <v>10020</v>
      </c>
      <c r="AH14" s="144">
        <f t="shared" si="8"/>
        <v>30157</v>
      </c>
      <c r="AI14" s="144">
        <f>SUMIF($B5:$B11,"nem kötelező",AI5:AI11)</f>
        <v>517.6339999999999</v>
      </c>
      <c r="AJ14" s="272">
        <f t="shared" si="3"/>
        <v>1.7164638392413036E-2</v>
      </c>
    </row>
    <row r="15" spans="1:36" x14ac:dyDescent="0.25">
      <c r="A15" s="71">
        <v>14</v>
      </c>
      <c r="B15" s="84"/>
      <c r="C15" s="80" t="s">
        <v>303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>
        <v>5</v>
      </c>
      <c r="AF15" s="87"/>
      <c r="AH15" s="318">
        <v>5</v>
      </c>
      <c r="AI15" s="318">
        <v>3.85</v>
      </c>
      <c r="AJ15" s="273">
        <f t="shared" si="3"/>
        <v>0.77</v>
      </c>
    </row>
    <row r="16" spans="1:36" x14ac:dyDescent="0.25">
      <c r="A16" s="71">
        <v>15</v>
      </c>
      <c r="B16" s="84"/>
      <c r="C16" s="80" t="s">
        <v>300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0"/>
    </row>
  </sheetData>
  <mergeCells count="12">
    <mergeCell ref="V1:AE1"/>
    <mergeCell ref="C2:AJ2"/>
    <mergeCell ref="D3:F3"/>
    <mergeCell ref="G3:I3"/>
    <mergeCell ref="J3:L3"/>
    <mergeCell ref="AB3:AD3"/>
    <mergeCell ref="AE3:AJ3"/>
    <mergeCell ref="M3:O3"/>
    <mergeCell ref="P3:R3"/>
    <mergeCell ref="S3:U3"/>
    <mergeCell ref="V3:X3"/>
    <mergeCell ref="Y3:AA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8"/>
  <sheetViews>
    <sheetView topLeftCell="A35" workbookViewId="0">
      <selection activeCell="O47" sqref="O47"/>
    </sheetView>
  </sheetViews>
  <sheetFormatPr defaultRowHeight="15.75" x14ac:dyDescent="0.25"/>
  <cols>
    <col min="1" max="1" width="52.7109375" style="2" customWidth="1"/>
    <col min="2" max="2" width="14.42578125" style="2" customWidth="1"/>
    <col min="3" max="3" width="19" style="116" customWidth="1"/>
    <col min="4" max="4" width="12" style="2" customWidth="1"/>
    <col min="5" max="5" width="12.42578125" style="2" bestFit="1" customWidth="1"/>
    <col min="6" max="7" width="12.42578125" style="231" customWidth="1"/>
    <col min="8" max="8" width="12.85546875" style="2" customWidth="1"/>
    <col min="9" max="16384" width="9.140625" style="2"/>
  </cols>
  <sheetData>
    <row r="1" spans="1:8" x14ac:dyDescent="0.25">
      <c r="A1" s="545" t="s">
        <v>444</v>
      </c>
      <c r="B1" s="545"/>
      <c r="C1" s="545"/>
      <c r="D1" s="545"/>
      <c r="E1" s="545"/>
      <c r="F1" s="545"/>
      <c r="G1" s="545"/>
      <c r="H1" s="545"/>
    </row>
    <row r="3" spans="1:8" s="40" customFormat="1" ht="29.25" customHeight="1" x14ac:dyDescent="0.25">
      <c r="A3" s="597" t="s">
        <v>191</v>
      </c>
      <c r="B3" s="597"/>
      <c r="C3" s="597"/>
      <c r="D3" s="597"/>
      <c r="E3" s="597"/>
      <c r="F3" s="597"/>
      <c r="G3" s="597"/>
      <c r="H3" s="597"/>
    </row>
    <row r="4" spans="1:8" ht="16.5" thickBot="1" x14ac:dyDescent="0.3">
      <c r="E4" s="545" t="s">
        <v>347</v>
      </c>
      <c r="F4" s="545"/>
      <c r="G4" s="545"/>
      <c r="H4" s="545"/>
    </row>
    <row r="5" spans="1:8" s="40" customFormat="1" ht="48" thickBot="1" x14ac:dyDescent="0.3">
      <c r="A5" s="43" t="s">
        <v>192</v>
      </c>
      <c r="B5" s="41" t="s">
        <v>193</v>
      </c>
      <c r="C5" s="44" t="s">
        <v>194</v>
      </c>
      <c r="D5" s="44" t="s">
        <v>548</v>
      </c>
      <c r="E5" s="44" t="s">
        <v>396</v>
      </c>
      <c r="F5" s="225" t="s">
        <v>445</v>
      </c>
      <c r="G5" s="225" t="s">
        <v>446</v>
      </c>
      <c r="H5" s="42" t="s">
        <v>447</v>
      </c>
    </row>
    <row r="6" spans="1:8" s="114" customFormat="1" x14ac:dyDescent="0.25">
      <c r="A6" s="120" t="s">
        <v>489</v>
      </c>
      <c r="B6" s="31"/>
      <c r="C6" s="31"/>
      <c r="D6" s="31"/>
      <c r="E6" s="31"/>
      <c r="F6" s="31"/>
      <c r="G6" s="226"/>
      <c r="H6" s="31"/>
    </row>
    <row r="7" spans="1:8" x14ac:dyDescent="0.25">
      <c r="A7" s="122" t="s">
        <v>490</v>
      </c>
      <c r="B7" s="161"/>
      <c r="C7" s="32"/>
      <c r="D7" s="161"/>
      <c r="E7" s="161"/>
      <c r="F7" s="161"/>
      <c r="G7" s="227"/>
      <c r="H7" s="115"/>
    </row>
    <row r="8" spans="1:8" x14ac:dyDescent="0.25">
      <c r="A8" s="8" t="s">
        <v>491</v>
      </c>
      <c r="B8" s="161">
        <v>96</v>
      </c>
      <c r="C8" s="32">
        <v>2018</v>
      </c>
      <c r="D8" s="161">
        <v>0</v>
      </c>
      <c r="E8" s="161">
        <v>96</v>
      </c>
      <c r="F8" s="161">
        <v>96</v>
      </c>
      <c r="G8" s="227"/>
      <c r="H8" s="115">
        <f>B8-D8-E8</f>
        <v>0</v>
      </c>
    </row>
    <row r="9" spans="1:8" x14ac:dyDescent="0.25">
      <c r="A9" s="494" t="s">
        <v>492</v>
      </c>
      <c r="B9" s="162">
        <v>115</v>
      </c>
      <c r="C9" s="32">
        <v>2018</v>
      </c>
      <c r="D9" s="161">
        <v>0</v>
      </c>
      <c r="E9" s="162">
        <v>115</v>
      </c>
      <c r="F9" s="162">
        <v>115</v>
      </c>
      <c r="G9" s="227">
        <v>109.99</v>
      </c>
      <c r="H9" s="115">
        <v>0</v>
      </c>
    </row>
    <row r="10" spans="1:8" x14ac:dyDescent="0.25">
      <c r="A10" s="8" t="s">
        <v>493</v>
      </c>
      <c r="B10" s="162">
        <v>254</v>
      </c>
      <c r="C10" s="32">
        <v>2018</v>
      </c>
      <c r="D10" s="161">
        <v>0</v>
      </c>
      <c r="E10" s="162">
        <v>254</v>
      </c>
      <c r="F10" s="162">
        <v>254</v>
      </c>
      <c r="G10" s="227"/>
      <c r="H10" s="115">
        <v>0</v>
      </c>
    </row>
    <row r="11" spans="1:8" x14ac:dyDescent="0.25">
      <c r="A11" s="8" t="s">
        <v>494</v>
      </c>
      <c r="B11" s="162">
        <v>122</v>
      </c>
      <c r="C11" s="32">
        <v>2018</v>
      </c>
      <c r="D11" s="161">
        <v>0</v>
      </c>
      <c r="E11" s="162">
        <v>122</v>
      </c>
      <c r="F11" s="162">
        <v>122</v>
      </c>
      <c r="G11" s="227">
        <v>113.03</v>
      </c>
      <c r="H11" s="115">
        <v>0</v>
      </c>
    </row>
    <row r="12" spans="1:8" x14ac:dyDescent="0.25">
      <c r="A12" s="8" t="s">
        <v>495</v>
      </c>
      <c r="B12" s="162">
        <v>32</v>
      </c>
      <c r="C12" s="32">
        <v>2018</v>
      </c>
      <c r="D12" s="161">
        <v>0</v>
      </c>
      <c r="E12" s="162">
        <v>32</v>
      </c>
      <c r="F12" s="162">
        <v>32</v>
      </c>
      <c r="G12" s="227">
        <v>3.55</v>
      </c>
      <c r="H12" s="115">
        <v>0</v>
      </c>
    </row>
    <row r="13" spans="1:8" x14ac:dyDescent="0.25">
      <c r="A13" s="8" t="s">
        <v>496</v>
      </c>
      <c r="B13" s="162">
        <v>46</v>
      </c>
      <c r="C13" s="32">
        <v>2018</v>
      </c>
      <c r="D13" s="161">
        <v>0</v>
      </c>
      <c r="E13" s="162">
        <v>46</v>
      </c>
      <c r="F13" s="162">
        <v>46</v>
      </c>
      <c r="G13" s="227"/>
      <c r="H13" s="115">
        <v>0</v>
      </c>
    </row>
    <row r="14" spans="1:8" x14ac:dyDescent="0.25">
      <c r="A14" s="8" t="s">
        <v>497</v>
      </c>
      <c r="B14" s="162">
        <v>761</v>
      </c>
      <c r="C14" s="32">
        <v>2018</v>
      </c>
      <c r="D14" s="161">
        <v>0</v>
      </c>
      <c r="E14" s="162">
        <v>761</v>
      </c>
      <c r="F14" s="162">
        <v>761</v>
      </c>
      <c r="G14" s="227"/>
      <c r="H14" s="115">
        <v>0</v>
      </c>
    </row>
    <row r="15" spans="1:8" x14ac:dyDescent="0.25">
      <c r="A15" s="4" t="s">
        <v>498</v>
      </c>
      <c r="B15" s="162">
        <v>312</v>
      </c>
      <c r="C15" s="32">
        <v>2018</v>
      </c>
      <c r="D15" s="161">
        <v>0</v>
      </c>
      <c r="E15" s="162">
        <v>312</v>
      </c>
      <c r="F15" s="162">
        <v>312</v>
      </c>
      <c r="G15" s="227">
        <v>279.89999999999998</v>
      </c>
      <c r="H15" s="115">
        <v>0</v>
      </c>
    </row>
    <row r="16" spans="1:8" x14ac:dyDescent="0.25">
      <c r="A16" s="117" t="s">
        <v>499</v>
      </c>
      <c r="B16" s="162"/>
      <c r="C16" s="31"/>
      <c r="D16" s="162"/>
      <c r="E16" s="162"/>
      <c r="F16" s="162"/>
      <c r="G16" s="227"/>
      <c r="H16" s="115"/>
    </row>
    <row r="17" spans="1:8" x14ac:dyDescent="0.25">
      <c r="A17" s="4" t="s">
        <v>500</v>
      </c>
      <c r="B17" s="162">
        <v>78</v>
      </c>
      <c r="C17" s="32">
        <v>2018</v>
      </c>
      <c r="D17" s="161">
        <v>0</v>
      </c>
      <c r="E17" s="162">
        <v>78</v>
      </c>
      <c r="F17" s="162">
        <v>78</v>
      </c>
      <c r="G17" s="227">
        <v>77.900000000000006</v>
      </c>
      <c r="H17" s="115">
        <v>0</v>
      </c>
    </row>
    <row r="18" spans="1:8" x14ac:dyDescent="0.25">
      <c r="A18" s="4" t="s">
        <v>501</v>
      </c>
      <c r="B18" s="162">
        <v>60</v>
      </c>
      <c r="C18" s="32">
        <v>2018</v>
      </c>
      <c r="D18" s="161">
        <v>0</v>
      </c>
      <c r="E18" s="162">
        <v>60</v>
      </c>
      <c r="F18" s="162">
        <v>60</v>
      </c>
      <c r="G18" s="227">
        <v>57.902000000000001</v>
      </c>
      <c r="H18" s="115">
        <v>0</v>
      </c>
    </row>
    <row r="19" spans="1:8" x14ac:dyDescent="0.25">
      <c r="A19" s="494" t="s">
        <v>502</v>
      </c>
      <c r="B19" s="495">
        <v>31</v>
      </c>
      <c r="C19" s="32">
        <v>2018</v>
      </c>
      <c r="D19" s="161">
        <v>0</v>
      </c>
      <c r="E19" s="495">
        <v>31</v>
      </c>
      <c r="F19" s="495">
        <v>31</v>
      </c>
      <c r="G19" s="227"/>
      <c r="H19" s="115">
        <v>0</v>
      </c>
    </row>
    <row r="20" spans="1:8" x14ac:dyDescent="0.25">
      <c r="A20" s="4" t="s">
        <v>503</v>
      </c>
      <c r="B20" s="162">
        <v>26</v>
      </c>
      <c r="C20" s="32">
        <v>2018</v>
      </c>
      <c r="D20" s="161">
        <v>0</v>
      </c>
      <c r="E20" s="162">
        <v>26</v>
      </c>
      <c r="F20" s="162">
        <v>26</v>
      </c>
      <c r="G20" s="227"/>
      <c r="H20" s="115">
        <v>0</v>
      </c>
    </row>
    <row r="21" spans="1:8" x14ac:dyDescent="0.25">
      <c r="A21" s="4" t="s">
        <v>504</v>
      </c>
      <c r="B21" s="162">
        <v>25</v>
      </c>
      <c r="C21" s="32">
        <v>2018</v>
      </c>
      <c r="D21" s="161">
        <v>0</v>
      </c>
      <c r="E21" s="162">
        <v>25</v>
      </c>
      <c r="F21" s="162">
        <v>25</v>
      </c>
      <c r="G21" s="227">
        <v>19.800999999999998</v>
      </c>
      <c r="H21" s="115">
        <v>0</v>
      </c>
    </row>
    <row r="22" spans="1:8" x14ac:dyDescent="0.25">
      <c r="A22" s="4" t="s">
        <v>504</v>
      </c>
      <c r="B22" s="162"/>
      <c r="C22" s="32">
        <v>2018</v>
      </c>
      <c r="D22" s="161"/>
      <c r="E22" s="162"/>
      <c r="F22" s="162"/>
      <c r="G22" s="227">
        <v>19.8</v>
      </c>
      <c r="H22" s="115">
        <v>0</v>
      </c>
    </row>
    <row r="23" spans="1:8" x14ac:dyDescent="0.25">
      <c r="A23" s="4" t="s">
        <v>505</v>
      </c>
      <c r="B23" s="162">
        <v>26</v>
      </c>
      <c r="C23" s="32">
        <v>2018</v>
      </c>
      <c r="D23" s="161">
        <v>0</v>
      </c>
      <c r="E23" s="162">
        <v>26</v>
      </c>
      <c r="F23" s="162">
        <v>26</v>
      </c>
      <c r="G23" s="227">
        <v>25.9</v>
      </c>
      <c r="H23" s="115">
        <v>0</v>
      </c>
    </row>
    <row r="24" spans="1:8" x14ac:dyDescent="0.25">
      <c r="A24" s="4" t="s">
        <v>544</v>
      </c>
      <c r="B24" s="162"/>
      <c r="C24" s="32">
        <v>2018</v>
      </c>
      <c r="D24" s="161"/>
      <c r="E24" s="162"/>
      <c r="F24" s="162"/>
      <c r="G24" s="227">
        <v>43</v>
      </c>
      <c r="H24" s="115">
        <v>0</v>
      </c>
    </row>
    <row r="25" spans="1:8" x14ac:dyDescent="0.25">
      <c r="A25" s="4" t="s">
        <v>506</v>
      </c>
      <c r="B25" s="162">
        <v>310</v>
      </c>
      <c r="C25" s="32">
        <v>2018</v>
      </c>
      <c r="D25" s="161">
        <v>0</v>
      </c>
      <c r="E25" s="162">
        <v>310</v>
      </c>
      <c r="F25" s="162">
        <v>310</v>
      </c>
      <c r="G25" s="227">
        <v>269.89999999999998</v>
      </c>
      <c r="H25" s="115">
        <v>0</v>
      </c>
    </row>
    <row r="26" spans="1:8" s="1" customFormat="1" x14ac:dyDescent="0.25">
      <c r="A26" s="118" t="s">
        <v>507</v>
      </c>
      <c r="B26" s="167"/>
      <c r="C26" s="120"/>
      <c r="D26" s="167"/>
      <c r="E26" s="167"/>
      <c r="F26" s="167"/>
      <c r="G26" s="228"/>
      <c r="H26" s="121"/>
    </row>
    <row r="27" spans="1:8" x14ac:dyDescent="0.25">
      <c r="A27" s="4" t="s">
        <v>508</v>
      </c>
      <c r="B27" s="162">
        <v>89</v>
      </c>
      <c r="C27" s="32">
        <v>2018</v>
      </c>
      <c r="D27" s="161">
        <v>0</v>
      </c>
      <c r="E27" s="162">
        <v>89</v>
      </c>
      <c r="F27" s="162">
        <v>89</v>
      </c>
      <c r="G27" s="227">
        <v>69.989999999999995</v>
      </c>
      <c r="H27" s="115">
        <v>0</v>
      </c>
    </row>
    <row r="28" spans="1:8" x14ac:dyDescent="0.25">
      <c r="A28" s="4" t="s">
        <v>543</v>
      </c>
      <c r="B28" s="162"/>
      <c r="C28" s="32"/>
      <c r="D28" s="161"/>
      <c r="E28" s="162"/>
      <c r="F28" s="162"/>
      <c r="G28" s="227">
        <v>3.59</v>
      </c>
      <c r="H28" s="115">
        <v>0</v>
      </c>
    </row>
    <row r="29" spans="1:8" x14ac:dyDescent="0.25">
      <c r="A29" s="118" t="s">
        <v>509</v>
      </c>
      <c r="B29" s="167">
        <f>SUM(B8:B27)</f>
        <v>2383</v>
      </c>
      <c r="C29" s="120"/>
      <c r="D29" s="167">
        <v>0</v>
      </c>
      <c r="E29" s="167">
        <f>SUM(E8:E27)</f>
        <v>2383</v>
      </c>
      <c r="F29" s="167">
        <f>SUM(F8:F27)</f>
        <v>2383</v>
      </c>
      <c r="G29" s="230">
        <f>SUM(G8:G28)</f>
        <v>1094.2529999999999</v>
      </c>
      <c r="H29" s="115">
        <f t="shared" ref="H29:H66" si="0">B29-D29-E29</f>
        <v>0</v>
      </c>
    </row>
    <row r="30" spans="1:8" x14ac:dyDescent="0.25">
      <c r="A30" s="120" t="s">
        <v>510</v>
      </c>
      <c r="B30" s="167"/>
      <c r="C30" s="120"/>
      <c r="D30" s="167"/>
      <c r="E30" s="167"/>
      <c r="F30" s="167"/>
      <c r="G30" s="227"/>
      <c r="H30" s="115"/>
    </row>
    <row r="31" spans="1:8" x14ac:dyDescent="0.25">
      <c r="A31" s="77" t="s">
        <v>346</v>
      </c>
      <c r="B31" s="162">
        <v>55115</v>
      </c>
      <c r="C31" s="31">
        <v>2018</v>
      </c>
      <c r="D31" s="162">
        <v>0</v>
      </c>
      <c r="E31" s="162">
        <v>55115</v>
      </c>
      <c r="F31" s="162">
        <v>55115</v>
      </c>
      <c r="G31" s="227"/>
      <c r="H31" s="115">
        <f t="shared" si="0"/>
        <v>0</v>
      </c>
    </row>
    <row r="32" spans="1:8" x14ac:dyDescent="0.25">
      <c r="A32" s="77" t="s">
        <v>341</v>
      </c>
      <c r="B32" s="162">
        <v>189753</v>
      </c>
      <c r="C32" s="31">
        <v>2018</v>
      </c>
      <c r="D32" s="162">
        <v>0</v>
      </c>
      <c r="E32" s="162">
        <v>189753</v>
      </c>
      <c r="F32" s="162">
        <v>190261</v>
      </c>
      <c r="G32" s="227"/>
      <c r="H32" s="115">
        <f t="shared" si="0"/>
        <v>0</v>
      </c>
    </row>
    <row r="33" spans="1:8" x14ac:dyDescent="0.25">
      <c r="A33" s="77" t="s">
        <v>343</v>
      </c>
      <c r="B33" s="162">
        <v>45500</v>
      </c>
      <c r="C33" s="31">
        <v>2018</v>
      </c>
      <c r="D33" s="162">
        <v>0</v>
      </c>
      <c r="E33" s="162">
        <v>45500</v>
      </c>
      <c r="F33" s="162">
        <v>45500</v>
      </c>
      <c r="G33" s="227"/>
      <c r="H33" s="115">
        <f t="shared" si="0"/>
        <v>0</v>
      </c>
    </row>
    <row r="34" spans="1:8" x14ac:dyDescent="0.25">
      <c r="A34" s="77" t="s">
        <v>345</v>
      </c>
      <c r="B34" s="162">
        <v>159401</v>
      </c>
      <c r="C34" s="31">
        <v>2019</v>
      </c>
      <c r="D34" s="162">
        <v>0</v>
      </c>
      <c r="E34" s="162">
        <v>159401</v>
      </c>
      <c r="F34" s="162">
        <v>159401</v>
      </c>
      <c r="G34" s="227"/>
      <c r="H34" s="115">
        <f t="shared" si="0"/>
        <v>0</v>
      </c>
    </row>
    <row r="35" spans="1:8" s="1" customFormat="1" x14ac:dyDescent="0.25">
      <c r="A35" s="77" t="s">
        <v>511</v>
      </c>
      <c r="B35" s="496">
        <v>110015</v>
      </c>
      <c r="C35" s="31">
        <v>2019</v>
      </c>
      <c r="D35" s="162">
        <v>0</v>
      </c>
      <c r="E35" s="496">
        <v>110015</v>
      </c>
      <c r="F35" s="496">
        <v>99720.436000000002</v>
      </c>
      <c r="G35" s="228"/>
      <c r="H35" s="115">
        <f t="shared" si="0"/>
        <v>0</v>
      </c>
    </row>
    <row r="36" spans="1:8" x14ac:dyDescent="0.25">
      <c r="A36" s="77" t="s">
        <v>512</v>
      </c>
      <c r="B36" s="496">
        <v>46438</v>
      </c>
      <c r="C36" s="31">
        <v>2020</v>
      </c>
      <c r="D36" s="162">
        <v>0</v>
      </c>
      <c r="E36" s="496">
        <v>46438</v>
      </c>
      <c r="F36" s="496">
        <v>46438</v>
      </c>
      <c r="G36" s="227"/>
      <c r="H36" s="115">
        <f t="shared" si="0"/>
        <v>0</v>
      </c>
    </row>
    <row r="37" spans="1:8" x14ac:dyDescent="0.25">
      <c r="A37" s="118" t="s">
        <v>513</v>
      </c>
      <c r="B37" s="167">
        <f>SUM(B31:B36)</f>
        <v>606222</v>
      </c>
      <c r="C37" s="120"/>
      <c r="D37" s="167"/>
      <c r="E37" s="167">
        <f>SUM(E31:E36)</f>
        <v>606222</v>
      </c>
      <c r="F37" s="167">
        <f>SUM(F31:F36)</f>
        <v>596435.43599999999</v>
      </c>
      <c r="G37" s="230">
        <f>SUM(G31:G36)</f>
        <v>0</v>
      </c>
      <c r="H37" s="115">
        <f t="shared" si="0"/>
        <v>0</v>
      </c>
    </row>
    <row r="38" spans="1:8" x14ac:dyDescent="0.25">
      <c r="A38" s="4" t="s">
        <v>514</v>
      </c>
      <c r="B38" s="162">
        <v>500</v>
      </c>
      <c r="C38" s="31">
        <v>2018</v>
      </c>
      <c r="D38" s="162"/>
      <c r="E38" s="162">
        <v>500</v>
      </c>
      <c r="F38" s="162">
        <v>500</v>
      </c>
      <c r="G38" s="227"/>
      <c r="H38" s="115">
        <f t="shared" si="0"/>
        <v>0</v>
      </c>
    </row>
    <row r="39" spans="1:8" x14ac:dyDescent="0.25">
      <c r="A39" s="4" t="s">
        <v>545</v>
      </c>
      <c r="B39" s="162"/>
      <c r="C39" s="31"/>
      <c r="D39" s="162"/>
      <c r="E39" s="162"/>
      <c r="F39" s="162"/>
      <c r="G39" s="227">
        <v>188</v>
      </c>
      <c r="H39" s="115">
        <v>0</v>
      </c>
    </row>
    <row r="40" spans="1:8" x14ac:dyDescent="0.25">
      <c r="A40" s="4" t="s">
        <v>546</v>
      </c>
      <c r="B40" s="162"/>
      <c r="C40" s="31"/>
      <c r="D40" s="162"/>
      <c r="E40" s="162"/>
      <c r="F40" s="162"/>
      <c r="G40" s="227">
        <v>265</v>
      </c>
      <c r="H40" s="115">
        <v>0</v>
      </c>
    </row>
    <row r="41" spans="1:8" x14ac:dyDescent="0.25">
      <c r="A41" s="4" t="s">
        <v>515</v>
      </c>
      <c r="B41" s="162">
        <v>700</v>
      </c>
      <c r="C41" s="31">
        <v>2018</v>
      </c>
      <c r="D41" s="162"/>
      <c r="E41" s="162">
        <v>700</v>
      </c>
      <c r="F41" s="162">
        <v>700</v>
      </c>
      <c r="G41" s="227"/>
      <c r="H41" s="115">
        <f t="shared" si="0"/>
        <v>0</v>
      </c>
    </row>
    <row r="42" spans="1:8" ht="31.5" x14ac:dyDescent="0.25">
      <c r="A42" s="23" t="s">
        <v>516</v>
      </c>
      <c r="B42" s="162">
        <v>50</v>
      </c>
      <c r="C42" s="31">
        <v>2018</v>
      </c>
      <c r="D42" s="162">
        <v>0</v>
      </c>
      <c r="E42" s="162">
        <v>50</v>
      </c>
      <c r="F42" s="162">
        <v>50</v>
      </c>
      <c r="G42" s="227"/>
      <c r="H42" s="115">
        <f t="shared" si="0"/>
        <v>0</v>
      </c>
    </row>
    <row r="43" spans="1:8" x14ac:dyDescent="0.25">
      <c r="A43" s="4" t="s">
        <v>467</v>
      </c>
      <c r="B43" s="162">
        <v>10526</v>
      </c>
      <c r="C43" s="31">
        <v>2018</v>
      </c>
      <c r="D43" s="162">
        <v>0</v>
      </c>
      <c r="E43" s="162">
        <v>10526</v>
      </c>
      <c r="F43" s="162">
        <v>10776</v>
      </c>
      <c r="G43" s="227"/>
      <c r="H43" s="115">
        <v>0</v>
      </c>
    </row>
    <row r="44" spans="1:8" x14ac:dyDescent="0.25">
      <c r="A44" s="4" t="s">
        <v>517</v>
      </c>
      <c r="B44" s="162"/>
      <c r="C44" s="31">
        <v>2018</v>
      </c>
      <c r="D44" s="162"/>
      <c r="E44" s="162"/>
      <c r="F44" s="162">
        <v>299.23</v>
      </c>
      <c r="G44" s="227"/>
      <c r="H44" s="115">
        <f t="shared" si="0"/>
        <v>0</v>
      </c>
    </row>
    <row r="45" spans="1:8" x14ac:dyDescent="0.25">
      <c r="A45" s="4" t="s">
        <v>547</v>
      </c>
      <c r="B45" s="162"/>
      <c r="C45" s="31"/>
      <c r="D45" s="162"/>
      <c r="E45" s="162"/>
      <c r="F45" s="162"/>
      <c r="G45" s="227">
        <v>165.70599999999999</v>
      </c>
      <c r="H45" s="115">
        <v>0</v>
      </c>
    </row>
    <row r="46" spans="1:8" s="1" customFormat="1" x14ac:dyDescent="0.25">
      <c r="A46" s="497" t="s">
        <v>477</v>
      </c>
      <c r="B46" s="229">
        <v>1800</v>
      </c>
      <c r="C46" s="31">
        <v>2018</v>
      </c>
      <c r="D46" s="162">
        <v>0</v>
      </c>
      <c r="E46" s="229">
        <v>1800</v>
      </c>
      <c r="F46" s="229">
        <v>1800</v>
      </c>
      <c r="G46" s="229">
        <v>1362</v>
      </c>
      <c r="H46" s="115">
        <v>0</v>
      </c>
    </row>
    <row r="47" spans="1:8" s="1" customFormat="1" x14ac:dyDescent="0.25">
      <c r="A47" s="118" t="s">
        <v>518</v>
      </c>
      <c r="B47" s="167">
        <f>B29+B37+SUM(B38:B46)</f>
        <v>622181</v>
      </c>
      <c r="C47" s="119"/>
      <c r="D47" s="167">
        <f>D7+D18</f>
        <v>0</v>
      </c>
      <c r="E47" s="167">
        <f>E29+E37+SUM(E38:E46)</f>
        <v>622181</v>
      </c>
      <c r="F47" s="167">
        <f>F29+F37+SUM(F38:F46)</f>
        <v>612943.66599999997</v>
      </c>
      <c r="G47" s="230">
        <f>G29+G37+SUM(G38:G46)</f>
        <v>3074.9589999999998</v>
      </c>
      <c r="H47" s="121">
        <v>0</v>
      </c>
    </row>
    <row r="48" spans="1:8" x14ac:dyDescent="0.25">
      <c r="A48" s="120" t="s">
        <v>519</v>
      </c>
      <c r="B48" s="167"/>
      <c r="C48" s="120"/>
      <c r="D48" s="167"/>
      <c r="E48" s="167"/>
      <c r="F48" s="167"/>
      <c r="G48" s="227"/>
      <c r="H48" s="115"/>
    </row>
    <row r="49" spans="1:8" x14ac:dyDescent="0.25">
      <c r="A49" s="4" t="s">
        <v>520</v>
      </c>
      <c r="B49" s="162">
        <v>127</v>
      </c>
      <c r="C49" s="31">
        <v>2018</v>
      </c>
      <c r="D49" s="162"/>
      <c r="E49" s="162">
        <v>127</v>
      </c>
      <c r="F49" s="162">
        <v>147</v>
      </c>
      <c r="G49" s="227"/>
      <c r="H49" s="115">
        <f t="shared" si="0"/>
        <v>0</v>
      </c>
    </row>
    <row r="50" spans="1:8" x14ac:dyDescent="0.25">
      <c r="A50" s="4" t="s">
        <v>536</v>
      </c>
      <c r="B50" s="162"/>
      <c r="C50" s="31"/>
      <c r="D50" s="162"/>
      <c r="E50" s="162"/>
      <c r="F50" s="162"/>
      <c r="G50" s="227">
        <v>86.07</v>
      </c>
      <c r="H50" s="115">
        <f t="shared" si="0"/>
        <v>0</v>
      </c>
    </row>
    <row r="51" spans="1:8" x14ac:dyDescent="0.25">
      <c r="A51" s="4" t="s">
        <v>537</v>
      </c>
      <c r="B51" s="162"/>
      <c r="C51" s="31"/>
      <c r="D51" s="162"/>
      <c r="E51" s="162"/>
      <c r="F51" s="162"/>
      <c r="G51" s="227">
        <v>22.099</v>
      </c>
      <c r="H51" s="115">
        <f t="shared" si="0"/>
        <v>0</v>
      </c>
    </row>
    <row r="52" spans="1:8" x14ac:dyDescent="0.25">
      <c r="A52" s="4" t="s">
        <v>538</v>
      </c>
      <c r="B52" s="162"/>
      <c r="C52" s="31"/>
      <c r="D52" s="162"/>
      <c r="E52" s="162"/>
      <c r="F52" s="162"/>
      <c r="G52" s="227">
        <v>12.5</v>
      </c>
      <c r="H52" s="115">
        <f t="shared" si="0"/>
        <v>0</v>
      </c>
    </row>
    <row r="53" spans="1:8" x14ac:dyDescent="0.25">
      <c r="A53" s="4" t="s">
        <v>539</v>
      </c>
      <c r="B53" s="162"/>
      <c r="C53" s="31"/>
      <c r="D53" s="162"/>
      <c r="E53" s="162"/>
      <c r="F53" s="162"/>
      <c r="G53" s="227">
        <v>9.4</v>
      </c>
      <c r="H53" s="115">
        <f t="shared" si="0"/>
        <v>0</v>
      </c>
    </row>
    <row r="54" spans="1:8" x14ac:dyDescent="0.25">
      <c r="A54" s="498" t="s">
        <v>521</v>
      </c>
      <c r="B54" s="167">
        <v>127</v>
      </c>
      <c r="C54" s="120"/>
      <c r="D54" s="167"/>
      <c r="E54" s="167">
        <f>SUM(E49:E49)</f>
        <v>127</v>
      </c>
      <c r="F54" s="167">
        <f>SUM(F49:F49)</f>
        <v>147</v>
      </c>
      <c r="G54" s="228">
        <f>SUM(G50:G53)</f>
        <v>130.06899999999999</v>
      </c>
      <c r="H54" s="115">
        <f t="shared" si="0"/>
        <v>0</v>
      </c>
    </row>
    <row r="55" spans="1:8" x14ac:dyDescent="0.25">
      <c r="A55" s="120" t="s">
        <v>522</v>
      </c>
      <c r="B55" s="162"/>
      <c r="C55" s="31"/>
      <c r="D55" s="162"/>
      <c r="E55" s="162"/>
      <c r="F55" s="162"/>
      <c r="G55" s="227"/>
      <c r="H55" s="115"/>
    </row>
    <row r="56" spans="1:8" x14ac:dyDescent="0.25">
      <c r="A56" s="4" t="s">
        <v>520</v>
      </c>
      <c r="B56" s="162">
        <v>127</v>
      </c>
      <c r="C56" s="31">
        <v>2018</v>
      </c>
      <c r="D56" s="162"/>
      <c r="E56" s="162">
        <v>127</v>
      </c>
      <c r="F56" s="162">
        <v>127</v>
      </c>
      <c r="G56" s="227"/>
      <c r="H56" s="115">
        <v>0</v>
      </c>
    </row>
    <row r="57" spans="1:8" s="1" customFormat="1" x14ac:dyDescent="0.25">
      <c r="A57" s="4" t="s">
        <v>540</v>
      </c>
      <c r="B57" s="162"/>
      <c r="C57" s="31">
        <v>2018</v>
      </c>
      <c r="D57" s="162"/>
      <c r="E57" s="162"/>
      <c r="F57" s="162"/>
      <c r="G57" s="227">
        <v>11.9</v>
      </c>
      <c r="H57" s="115">
        <v>0</v>
      </c>
    </row>
    <row r="58" spans="1:8" x14ac:dyDescent="0.25">
      <c r="A58" s="498" t="s">
        <v>523</v>
      </c>
      <c r="B58" s="167">
        <v>127</v>
      </c>
      <c r="C58" s="31"/>
      <c r="D58" s="162"/>
      <c r="E58" s="167">
        <v>127</v>
      </c>
      <c r="F58" s="167">
        <v>127</v>
      </c>
      <c r="G58" s="228">
        <f>SUM(G57)</f>
        <v>11.9</v>
      </c>
      <c r="H58" s="115">
        <v>0</v>
      </c>
    </row>
    <row r="59" spans="1:8" s="1" customFormat="1" x14ac:dyDescent="0.25">
      <c r="A59" s="120" t="s">
        <v>524</v>
      </c>
      <c r="B59" s="162"/>
      <c r="C59" s="31"/>
      <c r="D59" s="162"/>
      <c r="E59" s="162"/>
      <c r="F59" s="162"/>
      <c r="G59" s="228"/>
      <c r="H59" s="115">
        <v>0</v>
      </c>
    </row>
    <row r="60" spans="1:8" x14ac:dyDescent="0.25">
      <c r="A60" s="4" t="s">
        <v>520</v>
      </c>
      <c r="B60" s="162">
        <v>127</v>
      </c>
      <c r="C60" s="31">
        <v>2018</v>
      </c>
      <c r="D60" s="162"/>
      <c r="E60" s="162">
        <v>127</v>
      </c>
      <c r="F60" s="162">
        <v>127</v>
      </c>
      <c r="G60" s="227"/>
      <c r="H60" s="115">
        <f t="shared" si="0"/>
        <v>0</v>
      </c>
    </row>
    <row r="61" spans="1:8" x14ac:dyDescent="0.25">
      <c r="A61" s="498" t="s">
        <v>525</v>
      </c>
      <c r="B61" s="167">
        <f>SUM(B60:B60)</f>
        <v>127</v>
      </c>
      <c r="C61" s="119"/>
      <c r="D61" s="167">
        <f>SUM(D60:D60)</f>
        <v>0</v>
      </c>
      <c r="E61" s="167">
        <f>SUM(E60:E60)</f>
        <v>127</v>
      </c>
      <c r="F61" s="167">
        <f>SUM(F60:F60)</f>
        <v>127</v>
      </c>
      <c r="G61" s="227"/>
      <c r="H61" s="115">
        <f t="shared" si="0"/>
        <v>0</v>
      </c>
    </row>
    <row r="62" spans="1:8" x14ac:dyDescent="0.25">
      <c r="A62" s="120" t="s">
        <v>348</v>
      </c>
      <c r="B62" s="162"/>
      <c r="C62" s="31"/>
      <c r="D62" s="162"/>
      <c r="E62" s="162"/>
      <c r="F62" s="162"/>
      <c r="G62" s="227"/>
      <c r="H62" s="115"/>
    </row>
    <row r="63" spans="1:8" x14ac:dyDescent="0.25">
      <c r="A63" s="4" t="s">
        <v>520</v>
      </c>
      <c r="B63" s="162">
        <v>127</v>
      </c>
      <c r="C63" s="31">
        <v>2018</v>
      </c>
      <c r="D63" s="162"/>
      <c r="E63" s="162">
        <v>127</v>
      </c>
      <c r="F63" s="162">
        <v>127</v>
      </c>
      <c r="G63" s="227"/>
      <c r="H63" s="115">
        <f t="shared" si="0"/>
        <v>0</v>
      </c>
    </row>
    <row r="64" spans="1:8" x14ac:dyDescent="0.25">
      <c r="A64" s="4" t="s">
        <v>541</v>
      </c>
      <c r="B64" s="162"/>
      <c r="C64" s="31"/>
      <c r="D64" s="162"/>
      <c r="E64" s="162"/>
      <c r="F64" s="162"/>
      <c r="G64" s="227">
        <v>99.713999999999999</v>
      </c>
      <c r="H64" s="115">
        <f t="shared" si="0"/>
        <v>0</v>
      </c>
    </row>
    <row r="65" spans="1:8" x14ac:dyDescent="0.25">
      <c r="A65" s="4" t="s">
        <v>542</v>
      </c>
      <c r="B65" s="162"/>
      <c r="C65" s="31"/>
      <c r="D65" s="162"/>
      <c r="E65" s="162"/>
      <c r="F65" s="162"/>
      <c r="G65" s="227">
        <v>13</v>
      </c>
      <c r="H65" s="115">
        <f t="shared" si="0"/>
        <v>0</v>
      </c>
    </row>
    <row r="66" spans="1:8" x14ac:dyDescent="0.25">
      <c r="A66" s="4"/>
      <c r="B66" s="162"/>
      <c r="C66" s="31"/>
      <c r="D66" s="162"/>
      <c r="E66" s="162"/>
      <c r="F66" s="162"/>
      <c r="G66" s="227"/>
      <c r="H66" s="115">
        <f t="shared" si="0"/>
        <v>0</v>
      </c>
    </row>
    <row r="67" spans="1:8" ht="16.5" thickBot="1" x14ac:dyDescent="0.3">
      <c r="A67" s="521" t="s">
        <v>526</v>
      </c>
      <c r="B67" s="522">
        <v>127</v>
      </c>
      <c r="C67" s="523"/>
      <c r="D67" s="522">
        <v>0</v>
      </c>
      <c r="E67" s="522">
        <f>SUM(E63:E63)</f>
        <v>127</v>
      </c>
      <c r="F67" s="522">
        <f>SUM(F63:F63)</f>
        <v>127</v>
      </c>
      <c r="G67" s="524">
        <f>SUM(G63:G66)</f>
        <v>112.714</v>
      </c>
      <c r="H67" s="487">
        <v>0</v>
      </c>
    </row>
    <row r="68" spans="1:8" ht="16.5" thickBot="1" x14ac:dyDescent="0.3">
      <c r="A68" s="37" t="s">
        <v>308</v>
      </c>
      <c r="B68" s="165">
        <f>B47+B54+B58+B61+B67</f>
        <v>622689</v>
      </c>
      <c r="C68" s="165"/>
      <c r="D68" s="165">
        <f>D47+D48+D61</f>
        <v>0</v>
      </c>
      <c r="E68" s="165">
        <f>E47+E54+E58+E61+E67</f>
        <v>622689</v>
      </c>
      <c r="F68" s="165">
        <f>F47+F54+F58+F61+F67</f>
        <v>613471.66599999997</v>
      </c>
      <c r="G68" s="526">
        <f>G47+G54+G58+G61+G67</f>
        <v>3329.6419999999998</v>
      </c>
      <c r="H68" s="525">
        <v>0</v>
      </c>
    </row>
  </sheetData>
  <mergeCells count="3">
    <mergeCell ref="A1:H1"/>
    <mergeCell ref="A3:H3"/>
    <mergeCell ref="E4:H4"/>
  </mergeCells>
  <pageMargins left="0.70866141732283472" right="0.70866141732283472" top="0.74803149606299213" bottom="0.74803149606299213" header="0.31496062992125984" footer="0.31496062992125984"/>
  <pageSetup paperSize="9" scale="88" fitToHeight="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workbookViewId="0">
      <selection activeCell="K24" sqref="K24"/>
    </sheetView>
  </sheetViews>
  <sheetFormatPr defaultRowHeight="15.75" x14ac:dyDescent="0.25"/>
  <cols>
    <col min="1" max="1" width="53.42578125" style="2" customWidth="1"/>
    <col min="2" max="2" width="14.42578125" style="2" customWidth="1"/>
    <col min="3" max="3" width="19" style="2" customWidth="1"/>
    <col min="4" max="4" width="12" style="2" customWidth="1"/>
    <col min="5" max="7" width="11.42578125" style="2" customWidth="1"/>
    <col min="8" max="8" width="12.85546875" style="2" customWidth="1"/>
    <col min="9" max="16384" width="9.140625" style="2"/>
  </cols>
  <sheetData>
    <row r="1" spans="1:8" x14ac:dyDescent="0.25">
      <c r="A1" s="545" t="s">
        <v>448</v>
      </c>
      <c r="B1" s="545"/>
      <c r="C1" s="545"/>
      <c r="D1" s="545"/>
      <c r="E1" s="545"/>
      <c r="F1" s="545"/>
      <c r="G1" s="545"/>
      <c r="H1" s="545"/>
    </row>
    <row r="3" spans="1:8" s="40" customFormat="1" ht="29.25" customHeight="1" x14ac:dyDescent="0.25">
      <c r="A3" s="597" t="s">
        <v>196</v>
      </c>
      <c r="B3" s="597"/>
      <c r="C3" s="597"/>
      <c r="D3" s="597"/>
      <c r="E3" s="597"/>
      <c r="F3" s="597"/>
      <c r="G3" s="597"/>
      <c r="H3" s="597"/>
    </row>
    <row r="4" spans="1:8" ht="16.5" thickBot="1" x14ac:dyDescent="0.3">
      <c r="E4" s="545" t="s">
        <v>347</v>
      </c>
      <c r="F4" s="545"/>
      <c r="G4" s="545"/>
      <c r="H4" s="545"/>
    </row>
    <row r="5" spans="1:8" s="40" customFormat="1" ht="48" thickBot="1" x14ac:dyDescent="0.3">
      <c r="A5" s="43" t="s">
        <v>197</v>
      </c>
      <c r="B5" s="41" t="s">
        <v>193</v>
      </c>
      <c r="C5" s="44" t="s">
        <v>194</v>
      </c>
      <c r="D5" s="44" t="s">
        <v>329</v>
      </c>
      <c r="E5" s="44" t="s">
        <v>396</v>
      </c>
      <c r="F5" s="225" t="s">
        <v>445</v>
      </c>
      <c r="G5" s="225" t="s">
        <v>446</v>
      </c>
      <c r="H5" s="42" t="s">
        <v>447</v>
      </c>
    </row>
    <row r="6" spans="1:8" x14ac:dyDescent="0.25">
      <c r="A6" s="122"/>
      <c r="B6" s="8"/>
      <c r="C6" s="8"/>
      <c r="D6" s="8"/>
      <c r="E6" s="8"/>
      <c r="F6" s="8"/>
      <c r="G6" s="168"/>
      <c r="H6" s="4"/>
    </row>
    <row r="7" spans="1:8" x14ac:dyDescent="0.25">
      <c r="A7" s="8" t="s">
        <v>527</v>
      </c>
      <c r="B7" s="161">
        <v>500</v>
      </c>
      <c r="C7" s="32">
        <v>2018</v>
      </c>
      <c r="D7" s="161">
        <v>0</v>
      </c>
      <c r="E7" s="161">
        <v>500</v>
      </c>
      <c r="F7" s="161">
        <v>500</v>
      </c>
      <c r="G7" s="169">
        <v>190.261</v>
      </c>
      <c r="H7" s="10"/>
    </row>
    <row r="8" spans="1:8" x14ac:dyDescent="0.25">
      <c r="A8" s="4" t="s">
        <v>528</v>
      </c>
      <c r="B8" s="168">
        <v>19925</v>
      </c>
      <c r="C8" s="123">
        <v>2018</v>
      </c>
      <c r="D8" s="162">
        <v>0</v>
      </c>
      <c r="E8" s="168">
        <v>19925</v>
      </c>
      <c r="F8" s="168">
        <v>20320</v>
      </c>
      <c r="G8" s="169">
        <v>20320</v>
      </c>
      <c r="H8" s="10"/>
    </row>
    <row r="9" spans="1:8" x14ac:dyDescent="0.25">
      <c r="A9" s="4" t="s">
        <v>529</v>
      </c>
      <c r="B9" s="169">
        <v>1029</v>
      </c>
      <c r="C9" s="123">
        <v>2018</v>
      </c>
      <c r="D9" s="162">
        <v>0</v>
      </c>
      <c r="E9" s="169">
        <v>1029</v>
      </c>
      <c r="F9" s="169">
        <v>1029</v>
      </c>
      <c r="G9" s="169">
        <v>1211.58</v>
      </c>
      <c r="H9" s="10"/>
    </row>
    <row r="10" spans="1:8" x14ac:dyDescent="0.25">
      <c r="A10" s="4" t="s">
        <v>530</v>
      </c>
      <c r="B10" s="169">
        <v>1189</v>
      </c>
      <c r="C10" s="124">
        <v>2018</v>
      </c>
      <c r="D10" s="163">
        <v>0</v>
      </c>
      <c r="E10" s="169">
        <v>1189</v>
      </c>
      <c r="F10" s="169">
        <v>1189</v>
      </c>
      <c r="G10" s="169"/>
      <c r="H10" s="10"/>
    </row>
    <row r="11" spans="1:8" ht="31.5" x14ac:dyDescent="0.25">
      <c r="A11" s="499" t="s">
        <v>531</v>
      </c>
      <c r="B11" s="169">
        <v>937.53599999999994</v>
      </c>
      <c r="C11" s="35">
        <v>2018</v>
      </c>
      <c r="D11" s="163">
        <v>0</v>
      </c>
      <c r="E11" s="169"/>
      <c r="F11" s="169">
        <f>937.536+186</f>
        <v>1123.5360000000001</v>
      </c>
      <c r="G11" s="169">
        <f>186+738.217+199.319</f>
        <v>1123.5360000000001</v>
      </c>
      <c r="H11" s="10"/>
    </row>
    <row r="12" spans="1:8" ht="16.5" thickBot="1" x14ac:dyDescent="0.3">
      <c r="A12" s="10" t="s">
        <v>532</v>
      </c>
      <c r="B12" s="169">
        <v>2647.06</v>
      </c>
      <c r="C12" s="35">
        <v>2018</v>
      </c>
      <c r="D12" s="163">
        <v>0</v>
      </c>
      <c r="E12" s="169"/>
      <c r="F12" s="169">
        <v>2708.8159999999998</v>
      </c>
      <c r="G12" s="169"/>
      <c r="H12" s="10"/>
    </row>
    <row r="13" spans="1:8" ht="16.5" thickBot="1" x14ac:dyDescent="0.3">
      <c r="A13" s="37" t="s">
        <v>195</v>
      </c>
      <c r="B13" s="527">
        <f>SUM(B7:B12)</f>
        <v>26227.596000000001</v>
      </c>
      <c r="C13" s="9"/>
      <c r="D13" s="165">
        <f>SUM(D8:D12)</f>
        <v>0</v>
      </c>
      <c r="E13" s="527">
        <f>SUM(E7:E12)</f>
        <v>22643</v>
      </c>
      <c r="F13" s="528">
        <f>SUM(F7:F12)</f>
        <v>26870.351999999999</v>
      </c>
      <c r="G13" s="528">
        <f>SUM(G7:G12)</f>
        <v>22845.377</v>
      </c>
      <c r="H13" s="529"/>
    </row>
  </sheetData>
  <mergeCells count="3">
    <mergeCell ref="A1:H1"/>
    <mergeCell ref="A3:H3"/>
    <mergeCell ref="E4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3"/>
  <sheetViews>
    <sheetView view="pageBreakPreview" topLeftCell="A7" zoomScaleNormal="100" zoomScaleSheetLayoutView="100" workbookViewId="0">
      <selection activeCell="E65" sqref="E65"/>
    </sheetView>
  </sheetViews>
  <sheetFormatPr defaultRowHeight="15" x14ac:dyDescent="0.25"/>
  <cols>
    <col min="1" max="1" width="6.85546875" style="459" customWidth="1"/>
    <col min="2" max="2" width="60.42578125" style="372" customWidth="1"/>
    <col min="3" max="3" width="17.7109375" style="382" customWidth="1"/>
    <col min="4" max="4" width="15.28515625" style="444" customWidth="1"/>
    <col min="5" max="5" width="13.7109375" style="382" bestFit="1" customWidth="1"/>
    <col min="6" max="6" width="10.5703125" style="374" bestFit="1" customWidth="1"/>
    <col min="7" max="16384" width="9.140625" style="372"/>
  </cols>
  <sheetData>
    <row r="1" spans="1:6" x14ac:dyDescent="0.25">
      <c r="A1" s="541" t="s">
        <v>400</v>
      </c>
      <c r="B1" s="541"/>
      <c r="C1" s="541"/>
      <c r="D1" s="541"/>
      <c r="E1" s="541"/>
      <c r="F1" s="541"/>
    </row>
    <row r="2" spans="1:6" s="189" customFormat="1" ht="14.25" x14ac:dyDescent="0.2">
      <c r="A2" s="542" t="s">
        <v>0</v>
      </c>
      <c r="B2" s="542"/>
      <c r="C2" s="542"/>
      <c r="D2" s="542"/>
      <c r="E2" s="542"/>
      <c r="F2" s="542"/>
    </row>
    <row r="3" spans="1:6" s="189" customFormat="1" ht="14.25" x14ac:dyDescent="0.2">
      <c r="A3" s="542" t="s">
        <v>401</v>
      </c>
      <c r="B3" s="542"/>
      <c r="C3" s="542"/>
      <c r="D3" s="542"/>
      <c r="E3" s="542"/>
      <c r="F3" s="542"/>
    </row>
    <row r="4" spans="1:6" s="189" customFormat="1" ht="14.25" x14ac:dyDescent="0.2">
      <c r="A4" s="542" t="s">
        <v>380</v>
      </c>
      <c r="B4" s="542"/>
      <c r="C4" s="542"/>
      <c r="D4" s="542"/>
      <c r="E4" s="542"/>
      <c r="F4" s="542"/>
    </row>
    <row r="5" spans="1:6" s="189" customFormat="1" ht="14.25" x14ac:dyDescent="0.2">
      <c r="A5" s="542" t="s">
        <v>1</v>
      </c>
      <c r="B5" s="542"/>
      <c r="C5" s="542"/>
      <c r="D5" s="542"/>
      <c r="E5" s="542"/>
      <c r="F5" s="542"/>
    </row>
    <row r="6" spans="1:6" s="189" customFormat="1" thickBot="1" x14ac:dyDescent="0.25">
      <c r="A6" s="404" t="s">
        <v>87</v>
      </c>
      <c r="C6" s="405"/>
      <c r="D6" s="406"/>
      <c r="E6" s="375"/>
      <c r="F6" s="357"/>
    </row>
    <row r="7" spans="1:6" s="410" customFormat="1" thickBot="1" x14ac:dyDescent="0.3">
      <c r="A7" s="407">
        <v>1</v>
      </c>
      <c r="B7" s="408">
        <v>2</v>
      </c>
      <c r="C7" s="359">
        <v>3</v>
      </c>
      <c r="D7" s="409">
        <v>4</v>
      </c>
      <c r="E7" s="383">
        <v>5</v>
      </c>
      <c r="F7" s="383">
        <v>6</v>
      </c>
    </row>
    <row r="8" spans="1:6" s="189" customFormat="1" ht="29.25" thickBot="1" x14ac:dyDescent="0.25">
      <c r="A8" s="411" t="s">
        <v>4</v>
      </c>
      <c r="B8" s="408" t="s">
        <v>2</v>
      </c>
      <c r="C8" s="361" t="s">
        <v>396</v>
      </c>
      <c r="D8" s="412" t="s">
        <v>397</v>
      </c>
      <c r="E8" s="334" t="s">
        <v>398</v>
      </c>
      <c r="F8" s="338" t="s">
        <v>399</v>
      </c>
    </row>
    <row r="9" spans="1:6" s="189" customFormat="1" thickBot="1" x14ac:dyDescent="0.25">
      <c r="A9" s="413" t="s">
        <v>3</v>
      </c>
      <c r="B9" s="414" t="s">
        <v>16</v>
      </c>
      <c r="C9" s="363">
        <f>SUM(C10:C15)</f>
        <v>257157.579</v>
      </c>
      <c r="D9" s="415">
        <f>SUM(D10:D15)</f>
        <v>266504.821</v>
      </c>
      <c r="E9" s="415">
        <f>SUM(E10:E15)</f>
        <v>137708.139</v>
      </c>
      <c r="F9" s="385">
        <f>E9/D9</f>
        <v>0.51671912906971385</v>
      </c>
    </row>
    <row r="10" spans="1:6" x14ac:dyDescent="0.25">
      <c r="A10" s="416" t="s">
        <v>6</v>
      </c>
      <c r="B10" s="417" t="s">
        <v>30</v>
      </c>
      <c r="C10" s="365">
        <v>95069.09</v>
      </c>
      <c r="D10" s="418">
        <v>95069.09</v>
      </c>
      <c r="E10" s="419">
        <f>53287.548-3674.44</f>
        <v>49613.108</v>
      </c>
      <c r="F10" s="384">
        <f t="shared" ref="F10:F49" si="0">E10/D10</f>
        <v>0.5218637098556429</v>
      </c>
    </row>
    <row r="11" spans="1:6" x14ac:dyDescent="0.25">
      <c r="A11" s="420" t="s">
        <v>7</v>
      </c>
      <c r="B11" s="421" t="s">
        <v>31</v>
      </c>
      <c r="C11" s="365">
        <v>72321.217999999993</v>
      </c>
      <c r="D11" s="422">
        <v>72321.217999999993</v>
      </c>
      <c r="E11" s="419">
        <v>35825.281000000003</v>
      </c>
      <c r="F11" s="368">
        <f t="shared" si="0"/>
        <v>0.49536335242584001</v>
      </c>
    </row>
    <row r="12" spans="1:6" x14ac:dyDescent="0.25">
      <c r="A12" s="420" t="s">
        <v>8</v>
      </c>
      <c r="B12" s="421" t="s">
        <v>320</v>
      </c>
      <c r="C12" s="365">
        <v>85366.501000000004</v>
      </c>
      <c r="D12" s="422">
        <v>91408.501000000004</v>
      </c>
      <c r="E12" s="419">
        <f>68826.019-18111.6-3271.84</f>
        <v>47442.578999999998</v>
      </c>
      <c r="F12" s="368">
        <f t="shared" si="0"/>
        <v>0.51901714261784027</v>
      </c>
    </row>
    <row r="13" spans="1:6" x14ac:dyDescent="0.25">
      <c r="A13" s="420" t="s">
        <v>9</v>
      </c>
      <c r="B13" s="421" t="s">
        <v>33</v>
      </c>
      <c r="C13" s="365">
        <v>4400.7700000000004</v>
      </c>
      <c r="D13" s="422">
        <v>5380.6869999999999</v>
      </c>
      <c r="E13" s="419">
        <v>2871.1019999999999</v>
      </c>
      <c r="F13" s="368">
        <f t="shared" si="0"/>
        <v>0.53359394441639141</v>
      </c>
    </row>
    <row r="14" spans="1:6" x14ac:dyDescent="0.25">
      <c r="A14" s="420" t="s">
        <v>10</v>
      </c>
      <c r="B14" s="421" t="s">
        <v>34</v>
      </c>
      <c r="C14" s="365"/>
      <c r="D14" s="423">
        <v>2325.3249999999998</v>
      </c>
      <c r="E14" s="419">
        <v>1956.069</v>
      </c>
      <c r="F14" s="368">
        <f t="shared" si="0"/>
        <v>0.84120241256598549</v>
      </c>
    </row>
    <row r="15" spans="1:6" ht="15.75" thickBot="1" x14ac:dyDescent="0.3">
      <c r="A15" s="424" t="s">
        <v>11</v>
      </c>
      <c r="B15" s="425" t="s">
        <v>362</v>
      </c>
      <c r="C15" s="365"/>
      <c r="D15" s="423"/>
      <c r="E15" s="419"/>
      <c r="F15" s="386"/>
    </row>
    <row r="16" spans="1:6" s="189" customFormat="1" thickBot="1" x14ac:dyDescent="0.25">
      <c r="A16" s="413" t="s">
        <v>5</v>
      </c>
      <c r="B16" s="414" t="s">
        <v>39</v>
      </c>
      <c r="C16" s="363">
        <f>SUM(C17:C18)</f>
        <v>116377</v>
      </c>
      <c r="D16" s="415">
        <f>SUM(D17:D18)</f>
        <v>117530.399</v>
      </c>
      <c r="E16" s="415">
        <f>SUM(E17:E18)</f>
        <v>55245.709000000003</v>
      </c>
      <c r="F16" s="385">
        <f t="shared" si="0"/>
        <v>0.47005463667318953</v>
      </c>
    </row>
    <row r="17" spans="1:6" x14ac:dyDescent="0.25">
      <c r="A17" s="416" t="s">
        <v>12</v>
      </c>
      <c r="B17" s="417" t="s">
        <v>36</v>
      </c>
      <c r="C17" s="365"/>
      <c r="D17" s="423"/>
      <c r="E17" s="419"/>
      <c r="F17" s="384"/>
    </row>
    <row r="18" spans="1:6" x14ac:dyDescent="0.25">
      <c r="A18" s="420" t="s">
        <v>13</v>
      </c>
      <c r="B18" s="421" t="s">
        <v>37</v>
      </c>
      <c r="C18" s="365">
        <v>116377</v>
      </c>
      <c r="D18" s="418">
        <v>117530.399</v>
      </c>
      <c r="E18" s="419">
        <v>55245.709000000003</v>
      </c>
      <c r="F18" s="368">
        <f t="shared" si="0"/>
        <v>0.47005463667318953</v>
      </c>
    </row>
    <row r="19" spans="1:6" ht="15.75" thickBot="1" x14ac:dyDescent="0.3">
      <c r="A19" s="424" t="s">
        <v>14</v>
      </c>
      <c r="B19" s="425" t="s">
        <v>38</v>
      </c>
      <c r="C19" s="365"/>
      <c r="D19" s="423"/>
      <c r="E19" s="419"/>
      <c r="F19" s="386"/>
    </row>
    <row r="20" spans="1:6" s="189" customFormat="1" thickBot="1" x14ac:dyDescent="0.25">
      <c r="A20" s="413" t="s">
        <v>15</v>
      </c>
      <c r="B20" s="414" t="s">
        <v>43</v>
      </c>
      <c r="C20" s="363">
        <f>SUM(C21:C22)</f>
        <v>0</v>
      </c>
      <c r="D20" s="415">
        <f>SUM(D21:D22)</f>
        <v>0</v>
      </c>
      <c r="E20" s="415">
        <f>SUM(E21:E22)</f>
        <v>0</v>
      </c>
      <c r="F20" s="385" t="e">
        <f t="shared" si="0"/>
        <v>#DIV/0!</v>
      </c>
    </row>
    <row r="21" spans="1:6" x14ac:dyDescent="0.25">
      <c r="A21" s="416" t="s">
        <v>17</v>
      </c>
      <c r="B21" s="417" t="s">
        <v>40</v>
      </c>
      <c r="C21" s="365"/>
      <c r="D21" s="423"/>
      <c r="E21" s="419"/>
      <c r="F21" s="384" t="e">
        <f t="shared" si="0"/>
        <v>#DIV/0!</v>
      </c>
    </row>
    <row r="22" spans="1:6" x14ac:dyDescent="0.25">
      <c r="A22" s="420" t="s">
        <v>18</v>
      </c>
      <c r="B22" s="421" t="s">
        <v>41</v>
      </c>
      <c r="C22" s="365"/>
      <c r="D22" s="418"/>
      <c r="E22" s="419"/>
      <c r="F22" s="368" t="e">
        <f t="shared" si="0"/>
        <v>#DIV/0!</v>
      </c>
    </row>
    <row r="23" spans="1:6" ht="15.75" thickBot="1" x14ac:dyDescent="0.3">
      <c r="A23" s="424" t="s">
        <v>19</v>
      </c>
      <c r="B23" s="425" t="s">
        <v>42</v>
      </c>
      <c r="C23" s="365"/>
      <c r="D23" s="423"/>
      <c r="E23" s="419"/>
      <c r="F23" s="386"/>
    </row>
    <row r="24" spans="1:6" s="189" customFormat="1" thickBot="1" x14ac:dyDescent="0.25">
      <c r="A24" s="413" t="s">
        <v>20</v>
      </c>
      <c r="B24" s="414" t="s">
        <v>21</v>
      </c>
      <c r="C24" s="363">
        <f>C25+C28+C29+C30</f>
        <v>102821</v>
      </c>
      <c r="D24" s="363">
        <f>D25+D28+D29+D30</f>
        <v>102821</v>
      </c>
      <c r="E24" s="415">
        <f>E25+E28+E29+E30</f>
        <v>51277.287000000011</v>
      </c>
      <c r="F24" s="385">
        <f t="shared" si="0"/>
        <v>0.49870441835811763</v>
      </c>
    </row>
    <row r="25" spans="1:6" x14ac:dyDescent="0.25">
      <c r="A25" s="416" t="s">
        <v>22</v>
      </c>
      <c r="B25" s="417" t="s">
        <v>44</v>
      </c>
      <c r="C25" s="365">
        <f>SUM(C26:C27)</f>
        <v>91027</v>
      </c>
      <c r="D25" s="418">
        <f>SUM(D26:D27)</f>
        <v>91027</v>
      </c>
      <c r="E25" s="418">
        <f>SUM(E26:E27)</f>
        <v>45179.005000000005</v>
      </c>
      <c r="F25" s="384">
        <f t="shared" si="0"/>
        <v>0.49632532105858707</v>
      </c>
    </row>
    <row r="26" spans="1:6" x14ac:dyDescent="0.25">
      <c r="A26" s="420" t="s">
        <v>23</v>
      </c>
      <c r="B26" s="421" t="s">
        <v>45</v>
      </c>
      <c r="C26" s="365">
        <v>44</v>
      </c>
      <c r="D26" s="422">
        <v>44</v>
      </c>
      <c r="E26" s="419">
        <v>90.048000000000002</v>
      </c>
      <c r="F26" s="368">
        <f t="shared" si="0"/>
        <v>2.0465454545454547</v>
      </c>
    </row>
    <row r="27" spans="1:6" x14ac:dyDescent="0.25">
      <c r="A27" s="420" t="s">
        <v>24</v>
      </c>
      <c r="B27" s="421" t="s">
        <v>47</v>
      </c>
      <c r="C27" s="365">
        <v>90983</v>
      </c>
      <c r="D27" s="422">
        <v>90983</v>
      </c>
      <c r="E27" s="419">
        <v>45088.957000000002</v>
      </c>
      <c r="F27" s="368">
        <f t="shared" si="0"/>
        <v>0.49557562401767363</v>
      </c>
    </row>
    <row r="28" spans="1:6" x14ac:dyDescent="0.25">
      <c r="A28" s="420" t="s">
        <v>26</v>
      </c>
      <c r="B28" s="421" t="s">
        <v>48</v>
      </c>
      <c r="C28" s="365">
        <v>10605</v>
      </c>
      <c r="D28" s="422">
        <v>10605</v>
      </c>
      <c r="E28" s="419">
        <v>5115.33</v>
      </c>
      <c r="F28" s="368">
        <f t="shared" si="0"/>
        <v>0.48235077793493636</v>
      </c>
    </row>
    <row r="29" spans="1:6" x14ac:dyDescent="0.25">
      <c r="A29" s="420" t="s">
        <v>27</v>
      </c>
      <c r="B29" s="421" t="s">
        <v>49</v>
      </c>
      <c r="C29" s="365">
        <v>700</v>
      </c>
      <c r="D29" s="422">
        <v>700</v>
      </c>
      <c r="E29" s="419">
        <v>505.779</v>
      </c>
      <c r="F29" s="368">
        <f t="shared" si="0"/>
        <v>0.72254142857142856</v>
      </c>
    </row>
    <row r="30" spans="1:6" ht="15.75" thickBot="1" x14ac:dyDescent="0.3">
      <c r="A30" s="424" t="s">
        <v>28</v>
      </c>
      <c r="B30" s="425" t="s">
        <v>50</v>
      </c>
      <c r="C30" s="365">
        <v>489</v>
      </c>
      <c r="D30" s="422">
        <v>489</v>
      </c>
      <c r="E30" s="426">
        <v>477.173</v>
      </c>
      <c r="F30" s="386">
        <f t="shared" si="0"/>
        <v>0.97581390593047035</v>
      </c>
    </row>
    <row r="31" spans="1:6" s="189" customFormat="1" thickBot="1" x14ac:dyDescent="0.25">
      <c r="A31" s="413" t="s">
        <v>29</v>
      </c>
      <c r="B31" s="427" t="s">
        <v>51</v>
      </c>
      <c r="C31" s="381">
        <v>27587.3</v>
      </c>
      <c r="D31" s="415">
        <v>27587.3</v>
      </c>
      <c r="E31" s="395">
        <v>17285.992999999999</v>
      </c>
      <c r="F31" s="385">
        <f t="shared" si="0"/>
        <v>0.62659241752545547</v>
      </c>
    </row>
    <row r="32" spans="1:6" s="189" customFormat="1" thickBot="1" x14ac:dyDescent="0.25">
      <c r="A32" s="428" t="s">
        <v>52</v>
      </c>
      <c r="B32" s="429" t="s">
        <v>53</v>
      </c>
      <c r="C32" s="363">
        <f>'1.1.összevont'!D32-'1.3.önként'!C33-'1.4.államigazg'!C33</f>
        <v>0</v>
      </c>
      <c r="D32" s="415">
        <f>'1.1.összevont'!E32-'1.3.önként'!D33-'1.4.államigazg'!D33</f>
        <v>0</v>
      </c>
      <c r="E32" s="395"/>
      <c r="F32" s="385"/>
    </row>
    <row r="33" spans="1:6" s="189" customFormat="1" ht="15.75" thickBot="1" x14ac:dyDescent="0.3">
      <c r="A33" s="413" t="s">
        <v>54</v>
      </c>
      <c r="B33" s="414" t="s">
        <v>161</v>
      </c>
      <c r="C33" s="363"/>
      <c r="D33" s="415"/>
      <c r="E33" s="430"/>
      <c r="F33" s="393"/>
    </row>
    <row r="34" spans="1:6" s="189" customFormat="1" ht="15.75" thickBot="1" x14ac:dyDescent="0.3">
      <c r="A34" s="413" t="s">
        <v>56</v>
      </c>
      <c r="B34" s="414" t="s">
        <v>57</v>
      </c>
      <c r="C34" s="363">
        <f>'1.1.összevont'!D34-'1.3.önként'!C35-'1.4.államigazg'!C35</f>
        <v>0</v>
      </c>
      <c r="D34" s="415">
        <v>0</v>
      </c>
      <c r="E34" s="395"/>
      <c r="F34" s="391"/>
    </row>
    <row r="35" spans="1:6" s="189" customFormat="1" thickBot="1" x14ac:dyDescent="0.25">
      <c r="A35" s="413" t="s">
        <v>58</v>
      </c>
      <c r="B35" s="414" t="s">
        <v>137</v>
      </c>
      <c r="C35" s="363">
        <f>C9+C16+C20+C24+C31+C32+C33+C34</f>
        <v>503942.87900000002</v>
      </c>
      <c r="D35" s="415">
        <f>D9+D16+D20+D24+D31+D32+D33+D34</f>
        <v>514443.51999999996</v>
      </c>
      <c r="E35" s="415">
        <f>E9+E16+E20+E24+E31+E32+E33+E34</f>
        <v>261517.128</v>
      </c>
      <c r="F35" s="385">
        <f t="shared" si="0"/>
        <v>0.50834954243373498</v>
      </c>
    </row>
    <row r="36" spans="1:6" s="189" customFormat="1" ht="15.75" thickBot="1" x14ac:dyDescent="0.3">
      <c r="A36" s="413" t="s">
        <v>59</v>
      </c>
      <c r="B36" s="414" t="s">
        <v>60</v>
      </c>
      <c r="C36" s="363">
        <f>SUM(C37:C39)</f>
        <v>0</v>
      </c>
      <c r="D36" s="415">
        <f>SUM(D37:D39)</f>
        <v>0</v>
      </c>
      <c r="E36" s="415">
        <f>SUM(E37:E39)</f>
        <v>0</v>
      </c>
      <c r="F36" s="384"/>
    </row>
    <row r="37" spans="1:6" x14ac:dyDescent="0.25">
      <c r="A37" s="416" t="s">
        <v>61</v>
      </c>
      <c r="B37" s="417" t="s">
        <v>62</v>
      </c>
      <c r="C37" s="365"/>
      <c r="D37" s="432"/>
      <c r="E37" s="419"/>
      <c r="F37" s="368"/>
    </row>
    <row r="38" spans="1:6" x14ac:dyDescent="0.25">
      <c r="A38" s="420" t="s">
        <v>63</v>
      </c>
      <c r="B38" s="421" t="s">
        <v>64</v>
      </c>
      <c r="C38" s="365"/>
      <c r="D38" s="422"/>
      <c r="E38" s="419"/>
      <c r="F38" s="368"/>
    </row>
    <row r="39" spans="1:6" ht="15.75" thickBot="1" x14ac:dyDescent="0.3">
      <c r="A39" s="424" t="s">
        <v>65</v>
      </c>
      <c r="B39" s="425" t="s">
        <v>66</v>
      </c>
      <c r="C39" s="365"/>
      <c r="D39" s="422"/>
      <c r="E39" s="426"/>
      <c r="F39" s="386"/>
    </row>
    <row r="40" spans="1:6" s="189" customFormat="1" ht="15.75" thickBot="1" x14ac:dyDescent="0.3">
      <c r="A40" s="413" t="s">
        <v>67</v>
      </c>
      <c r="B40" s="414" t="s">
        <v>68</v>
      </c>
      <c r="C40" s="363"/>
      <c r="D40" s="433"/>
      <c r="E40" s="395"/>
      <c r="F40" s="391"/>
    </row>
    <row r="41" spans="1:6" s="189" customFormat="1" thickBot="1" x14ac:dyDescent="0.25">
      <c r="A41" s="413" t="s">
        <v>69</v>
      </c>
      <c r="B41" s="414" t="s">
        <v>391</v>
      </c>
      <c r="C41" s="363">
        <v>22555.454000000002</v>
      </c>
      <c r="D41" s="415">
        <v>28212.969000000001</v>
      </c>
      <c r="E41" s="395">
        <v>28212.969000000001</v>
      </c>
      <c r="F41" s="385">
        <f t="shared" si="0"/>
        <v>1</v>
      </c>
    </row>
    <row r="42" spans="1:6" s="189" customFormat="1" ht="15.75" thickBot="1" x14ac:dyDescent="0.3">
      <c r="A42" s="413" t="s">
        <v>71</v>
      </c>
      <c r="B42" s="414" t="s">
        <v>72</v>
      </c>
      <c r="C42" s="363"/>
      <c r="D42" s="434"/>
      <c r="E42" s="395"/>
      <c r="F42" s="391"/>
    </row>
    <row r="43" spans="1:6" x14ac:dyDescent="0.25">
      <c r="A43" s="416" t="s">
        <v>73</v>
      </c>
      <c r="B43" s="417" t="s">
        <v>74</v>
      </c>
      <c r="C43" s="365"/>
      <c r="D43" s="435"/>
      <c r="E43" s="436"/>
      <c r="F43" s="384"/>
    </row>
    <row r="44" spans="1:6" ht="15.75" thickBot="1" x14ac:dyDescent="0.3">
      <c r="A44" s="424" t="s">
        <v>75</v>
      </c>
      <c r="B44" s="425" t="s">
        <v>76</v>
      </c>
      <c r="C44" s="365"/>
      <c r="D44" s="437"/>
      <c r="E44" s="426"/>
      <c r="F44" s="386"/>
    </row>
    <row r="45" spans="1:6" s="189" customFormat="1" ht="15.75" thickBot="1" x14ac:dyDescent="0.3">
      <c r="A45" s="413" t="s">
        <v>77</v>
      </c>
      <c r="B45" s="414" t="s">
        <v>78</v>
      </c>
      <c r="C45" s="363">
        <f>'1.1.összevont'!D45-'1.3.önként'!C46-'1.4.államigazg'!C46</f>
        <v>0</v>
      </c>
      <c r="D45" s="363">
        <f>'1.1.összevont'!E45-'1.3.önként'!D46-'1.4.államigazg'!D46</f>
        <v>0</v>
      </c>
      <c r="E45" s="363">
        <f>'1.1.összevont'!F45-'1.3.önként'!E46-'1.4.államigazg'!E46</f>
        <v>0</v>
      </c>
      <c r="F45" s="391"/>
    </row>
    <row r="46" spans="1:6" s="189" customFormat="1" ht="15.75" thickBot="1" x14ac:dyDescent="0.3">
      <c r="A46" s="413" t="s">
        <v>79</v>
      </c>
      <c r="B46" s="414" t="s">
        <v>80</v>
      </c>
      <c r="C46" s="363">
        <f>'1.1.összevont'!D46-'1.3.önként'!C47-'1.4.államigazg'!C47</f>
        <v>0</v>
      </c>
      <c r="D46" s="363">
        <f>'1.1.összevont'!E46-'1.3.önként'!D47-'1.4.államigazg'!D47</f>
        <v>0</v>
      </c>
      <c r="E46" s="363">
        <f>'1.1.összevont'!F46-'1.3.önként'!E47-'1.4.államigazg'!E47</f>
        <v>0</v>
      </c>
      <c r="F46" s="391"/>
    </row>
    <row r="47" spans="1:6" s="189" customFormat="1" ht="15.75" thickBot="1" x14ac:dyDescent="0.3">
      <c r="A47" s="413" t="s">
        <v>81</v>
      </c>
      <c r="B47" s="414" t="s">
        <v>82</v>
      </c>
      <c r="C47" s="363">
        <f>'1.1.összevont'!D47-'1.3.önként'!C48-'1.4.államigazg'!C48</f>
        <v>0</v>
      </c>
      <c r="D47" s="363">
        <f>'1.1.összevont'!E47-'1.3.önként'!D48-'1.4.államigazg'!D48</f>
        <v>0</v>
      </c>
      <c r="E47" s="363">
        <f>'1.1.összevont'!F47-'1.3.önként'!E48-'1.4.államigazg'!E48</f>
        <v>0</v>
      </c>
      <c r="F47" s="391"/>
    </row>
    <row r="48" spans="1:6" s="189" customFormat="1" thickBot="1" x14ac:dyDescent="0.25">
      <c r="A48" s="413" t="s">
        <v>83</v>
      </c>
      <c r="B48" s="414" t="s">
        <v>84</v>
      </c>
      <c r="C48" s="363">
        <f>C36+C40+C41+C42+C45+C46+C47</f>
        <v>22555.454000000002</v>
      </c>
      <c r="D48" s="415">
        <f>D36+D40+D41+D42+D45+D46+D47</f>
        <v>28212.969000000001</v>
      </c>
      <c r="E48" s="438">
        <f>E36+E40+E41+E42+E45+E46+E47</f>
        <v>28212.969000000001</v>
      </c>
      <c r="F48" s="385">
        <f t="shared" si="0"/>
        <v>1</v>
      </c>
    </row>
    <row r="49" spans="1:6" s="443" customFormat="1" ht="29.25" thickBot="1" x14ac:dyDescent="0.3">
      <c r="A49" s="407" t="s">
        <v>85</v>
      </c>
      <c r="B49" s="439" t="s">
        <v>86</v>
      </c>
      <c r="C49" s="440">
        <f>C35+C48</f>
        <v>526498.33299999998</v>
      </c>
      <c r="D49" s="441">
        <f>D35+D48</f>
        <v>542656.48899999994</v>
      </c>
      <c r="E49" s="442">
        <f>E35+E48</f>
        <v>289730.09700000001</v>
      </c>
      <c r="F49" s="461">
        <f t="shared" si="0"/>
        <v>0.53391068359637739</v>
      </c>
    </row>
    <row r="51" spans="1:6" x14ac:dyDescent="0.25">
      <c r="A51" s="542" t="s">
        <v>88</v>
      </c>
      <c r="B51" s="542"/>
      <c r="C51" s="542"/>
      <c r="D51" s="542"/>
      <c r="E51" s="542"/>
      <c r="F51" s="542"/>
    </row>
    <row r="52" spans="1:6" ht="15.75" thickBot="1" x14ac:dyDescent="0.3">
      <c r="A52" s="404" t="s">
        <v>89</v>
      </c>
      <c r="B52" s="189"/>
      <c r="C52" s="405"/>
    </row>
    <row r="53" spans="1:6" ht="30" thickBot="1" x14ac:dyDescent="0.3">
      <c r="A53" s="445" t="s">
        <v>4</v>
      </c>
      <c r="B53" s="414" t="s">
        <v>90</v>
      </c>
      <c r="C53" s="361" t="s">
        <v>396</v>
      </c>
      <c r="D53" s="412" t="s">
        <v>397</v>
      </c>
      <c r="E53" s="344" t="s">
        <v>398</v>
      </c>
      <c r="F53" s="338" t="s">
        <v>399</v>
      </c>
    </row>
    <row r="54" spans="1:6" ht="15.75" thickBot="1" x14ac:dyDescent="0.3">
      <c r="A54" s="413" t="s">
        <v>3</v>
      </c>
      <c r="B54" s="414" t="s">
        <v>108</v>
      </c>
      <c r="C54" s="363">
        <f>C55+C56+C57+C58+C59+C65</f>
        <v>477160.6</v>
      </c>
      <c r="D54" s="415">
        <f>D55+D56+D57+D58+D59+D65</f>
        <v>491657.22000000009</v>
      </c>
      <c r="E54" s="415">
        <f>E55+E56+E57+E58+E59+E65</f>
        <v>227461.99399999998</v>
      </c>
      <c r="F54" s="385">
        <f>E54/D54</f>
        <v>0.46264345309522747</v>
      </c>
    </row>
    <row r="55" spans="1:6" x14ac:dyDescent="0.25">
      <c r="A55" s="446" t="s">
        <v>6</v>
      </c>
      <c r="B55" s="417" t="s">
        <v>91</v>
      </c>
      <c r="C55" s="365">
        <v>271777</v>
      </c>
      <c r="D55" s="418">
        <v>280212.48200000002</v>
      </c>
      <c r="E55" s="419">
        <v>134492.33799999999</v>
      </c>
      <c r="F55" s="384">
        <f t="shared" ref="F55:F88" si="1">E55/D55</f>
        <v>0.47996554985726858</v>
      </c>
    </row>
    <row r="56" spans="1:6" x14ac:dyDescent="0.25">
      <c r="A56" s="447" t="s">
        <v>7</v>
      </c>
      <c r="B56" s="421" t="s">
        <v>92</v>
      </c>
      <c r="C56" s="365">
        <v>45678.8</v>
      </c>
      <c r="D56" s="418">
        <v>47320.47</v>
      </c>
      <c r="E56" s="419">
        <v>22357.106</v>
      </c>
      <c r="F56" s="368">
        <f t="shared" si="1"/>
        <v>0.4724616217886255</v>
      </c>
    </row>
    <row r="57" spans="1:6" x14ac:dyDescent="0.25">
      <c r="A57" s="447" t="s">
        <v>8</v>
      </c>
      <c r="B57" s="421" t="s">
        <v>93</v>
      </c>
      <c r="C57" s="365">
        <v>128939.7</v>
      </c>
      <c r="D57" s="418">
        <v>130131.38800000001</v>
      </c>
      <c r="E57" s="419">
        <v>54799.535000000003</v>
      </c>
      <c r="F57" s="368">
        <f t="shared" si="1"/>
        <v>0.42110927918481894</v>
      </c>
    </row>
    <row r="58" spans="1:6" x14ac:dyDescent="0.25">
      <c r="A58" s="447" t="s">
        <v>9</v>
      </c>
      <c r="B58" s="421" t="s">
        <v>94</v>
      </c>
      <c r="C58" s="365">
        <v>2000</v>
      </c>
      <c r="D58" s="418">
        <v>2707.78</v>
      </c>
      <c r="E58" s="419">
        <v>722.4</v>
      </c>
      <c r="F58" s="368">
        <f t="shared" si="1"/>
        <v>0.26678681429067352</v>
      </c>
    </row>
    <row r="59" spans="1:6" x14ac:dyDescent="0.25">
      <c r="A59" s="447" t="s">
        <v>10</v>
      </c>
      <c r="B59" s="421" t="s">
        <v>95</v>
      </c>
      <c r="C59" s="365">
        <f>SUM(C60:C64)</f>
        <v>28765.1</v>
      </c>
      <c r="D59" s="418">
        <f>SUM(D60:D64)</f>
        <v>31285.1</v>
      </c>
      <c r="E59" s="418">
        <f>SUM(E60:E64)</f>
        <v>15090.615</v>
      </c>
      <c r="F59" s="368">
        <f t="shared" si="1"/>
        <v>0.48235789561164899</v>
      </c>
    </row>
    <row r="60" spans="1:6" x14ac:dyDescent="0.25">
      <c r="A60" s="447" t="s">
        <v>11</v>
      </c>
      <c r="B60" s="448" t="s">
        <v>374</v>
      </c>
      <c r="C60" s="365">
        <v>3000</v>
      </c>
      <c r="D60" s="418">
        <v>3000</v>
      </c>
      <c r="E60" s="419">
        <v>2617.3420000000001</v>
      </c>
      <c r="F60" s="368">
        <f t="shared" si="1"/>
        <v>0.87244733333333335</v>
      </c>
    </row>
    <row r="61" spans="1:6" x14ac:dyDescent="0.25">
      <c r="A61" s="447" t="s">
        <v>97</v>
      </c>
      <c r="B61" s="421" t="s">
        <v>103</v>
      </c>
      <c r="C61" s="365"/>
      <c r="D61" s="418"/>
      <c r="E61" s="419"/>
      <c r="F61" s="368"/>
    </row>
    <row r="62" spans="1:6" x14ac:dyDescent="0.25">
      <c r="A62" s="447" t="s">
        <v>98</v>
      </c>
      <c r="B62" s="421" t="s">
        <v>138</v>
      </c>
      <c r="C62" s="365"/>
      <c r="D62" s="418"/>
      <c r="E62" s="419"/>
      <c r="F62" s="368"/>
    </row>
    <row r="63" spans="1:6" x14ac:dyDescent="0.25">
      <c r="A63" s="447" t="s">
        <v>99</v>
      </c>
      <c r="B63" s="421" t="s">
        <v>139</v>
      </c>
      <c r="C63" s="365">
        <v>2903</v>
      </c>
      <c r="D63" s="418">
        <v>2903</v>
      </c>
      <c r="E63" s="419">
        <v>985.99</v>
      </c>
      <c r="F63" s="368">
        <f t="shared" si="1"/>
        <v>0.3396451946262487</v>
      </c>
    </row>
    <row r="64" spans="1:6" x14ac:dyDescent="0.25">
      <c r="A64" s="447" t="s">
        <v>100</v>
      </c>
      <c r="B64" s="421" t="s">
        <v>140</v>
      </c>
      <c r="C64" s="365">
        <v>22862.1</v>
      </c>
      <c r="D64" s="418">
        <v>25382.1</v>
      </c>
      <c r="E64" s="419">
        <v>11487.282999999999</v>
      </c>
      <c r="F64" s="368">
        <f t="shared" si="1"/>
        <v>0.4525741762895899</v>
      </c>
    </row>
    <row r="65" spans="1:6" x14ac:dyDescent="0.25">
      <c r="A65" s="447" t="s">
        <v>101</v>
      </c>
      <c r="B65" s="421" t="s">
        <v>102</v>
      </c>
      <c r="C65" s="365">
        <f>SUM(C66:C67)</f>
        <v>0</v>
      </c>
      <c r="D65" s="365">
        <f>SUM(D66:D67)</f>
        <v>0</v>
      </c>
      <c r="E65" s="419"/>
      <c r="F65" s="368"/>
    </row>
    <row r="66" spans="1:6" x14ac:dyDescent="0.25">
      <c r="A66" s="447" t="s">
        <v>104</v>
      </c>
      <c r="B66" s="421" t="s">
        <v>105</v>
      </c>
      <c r="C66" s="365"/>
      <c r="D66" s="418"/>
      <c r="E66" s="419"/>
      <c r="F66" s="368"/>
    </row>
    <row r="67" spans="1:6" ht="15.75" thickBot="1" x14ac:dyDescent="0.3">
      <c r="A67" s="449" t="s">
        <v>106</v>
      </c>
      <c r="B67" s="425" t="s">
        <v>107</v>
      </c>
      <c r="C67" s="365"/>
      <c r="D67" s="418"/>
      <c r="E67" s="419"/>
      <c r="F67" s="386"/>
    </row>
    <row r="68" spans="1:6" ht="15.75" thickBot="1" x14ac:dyDescent="0.3">
      <c r="A68" s="413" t="s">
        <v>5</v>
      </c>
      <c r="B68" s="414" t="s">
        <v>121</v>
      </c>
      <c r="C68" s="363">
        <f>C69+C71+C73</f>
        <v>38410</v>
      </c>
      <c r="D68" s="415">
        <f>D69+D71+D73</f>
        <v>40071.536</v>
      </c>
      <c r="E68" s="415">
        <f>E69+E71+E73</f>
        <v>26175.019</v>
      </c>
      <c r="F68" s="385">
        <f t="shared" si="1"/>
        <v>0.65320727910205389</v>
      </c>
    </row>
    <row r="69" spans="1:6" x14ac:dyDescent="0.25">
      <c r="A69" s="446" t="s">
        <v>12</v>
      </c>
      <c r="B69" s="417" t="s">
        <v>109</v>
      </c>
      <c r="C69" s="365">
        <v>15767</v>
      </c>
      <c r="D69" s="418">
        <v>15910</v>
      </c>
      <c r="E69" s="419">
        <v>3329.6419999999998</v>
      </c>
      <c r="F69" s="384">
        <f t="shared" si="1"/>
        <v>0.20927982401005657</v>
      </c>
    </row>
    <row r="70" spans="1:6" x14ac:dyDescent="0.25">
      <c r="A70" s="447" t="s">
        <v>110</v>
      </c>
      <c r="B70" s="421" t="s">
        <v>111</v>
      </c>
      <c r="C70" s="365"/>
      <c r="D70" s="418"/>
      <c r="E70" s="419"/>
      <c r="F70" s="368"/>
    </row>
    <row r="71" spans="1:6" x14ac:dyDescent="0.25">
      <c r="A71" s="447" t="s">
        <v>14</v>
      </c>
      <c r="B71" s="421" t="s">
        <v>112</v>
      </c>
      <c r="C71" s="365">
        <v>22643</v>
      </c>
      <c r="D71" s="418">
        <v>24161.536</v>
      </c>
      <c r="E71" s="419">
        <v>22845.377</v>
      </c>
      <c r="F71" s="368">
        <f t="shared" si="1"/>
        <v>0.94552668340290946</v>
      </c>
    </row>
    <row r="72" spans="1:6" x14ac:dyDescent="0.25">
      <c r="A72" s="447" t="s">
        <v>113</v>
      </c>
      <c r="B72" s="421" t="s">
        <v>114</v>
      </c>
      <c r="C72" s="365"/>
      <c r="D72" s="418"/>
      <c r="E72" s="419"/>
      <c r="F72" s="368"/>
    </row>
    <row r="73" spans="1:6" x14ac:dyDescent="0.25">
      <c r="A73" s="447" t="s">
        <v>115</v>
      </c>
      <c r="B73" s="421" t="s">
        <v>116</v>
      </c>
      <c r="C73" s="365">
        <f>SUM(C74:C75)</f>
        <v>0</v>
      </c>
      <c r="D73" s="418">
        <f>SUM(D74:D75)</f>
        <v>0</v>
      </c>
      <c r="E73" s="418">
        <f>SUM(E74:E75)</f>
        <v>0</v>
      </c>
      <c r="F73" s="368" t="e">
        <f t="shared" si="1"/>
        <v>#DIV/0!</v>
      </c>
    </row>
    <row r="74" spans="1:6" x14ac:dyDescent="0.25">
      <c r="A74" s="447" t="s">
        <v>117</v>
      </c>
      <c r="B74" s="421" t="s">
        <v>118</v>
      </c>
      <c r="C74" s="365"/>
      <c r="D74" s="418"/>
      <c r="E74" s="419"/>
      <c r="F74" s="368" t="e">
        <f t="shared" si="1"/>
        <v>#DIV/0!</v>
      </c>
    </row>
    <row r="75" spans="1:6" ht="15.75" thickBot="1" x14ac:dyDescent="0.3">
      <c r="A75" s="449" t="s">
        <v>119</v>
      </c>
      <c r="B75" s="425" t="s">
        <v>120</v>
      </c>
      <c r="C75" s="365"/>
      <c r="D75" s="418"/>
      <c r="E75" s="419"/>
      <c r="F75" s="386" t="e">
        <f t="shared" si="1"/>
        <v>#DIV/0!</v>
      </c>
    </row>
    <row r="76" spans="1:6" ht="15.75" thickBot="1" x14ac:dyDescent="0.3">
      <c r="A76" s="413" t="s">
        <v>15</v>
      </c>
      <c r="B76" s="414" t="s">
        <v>122</v>
      </c>
      <c r="C76" s="363">
        <f>C54+C68</f>
        <v>515570.6</v>
      </c>
      <c r="D76" s="415">
        <f>D54+D68</f>
        <v>531728.75600000005</v>
      </c>
      <c r="E76" s="415">
        <f>E54+E68</f>
        <v>253637.01299999998</v>
      </c>
      <c r="F76" s="385">
        <f t="shared" si="1"/>
        <v>0.477004506786539</v>
      </c>
    </row>
    <row r="77" spans="1:6" ht="15.75" thickBot="1" x14ac:dyDescent="0.3">
      <c r="A77" s="413" t="s">
        <v>20</v>
      </c>
      <c r="B77" s="414" t="s">
        <v>126</v>
      </c>
      <c r="C77" s="363">
        <f>SUM(C78:C80)</f>
        <v>0</v>
      </c>
      <c r="D77" s="363">
        <f t="shared" ref="D77:E77" si="2">SUM(D78:D80)</f>
        <v>0</v>
      </c>
      <c r="E77" s="363">
        <f t="shared" si="2"/>
        <v>0</v>
      </c>
      <c r="F77" s="385"/>
    </row>
    <row r="78" spans="1:6" x14ac:dyDescent="0.25">
      <c r="A78" s="446" t="s">
        <v>22</v>
      </c>
      <c r="B78" s="417" t="s">
        <v>123</v>
      </c>
      <c r="C78" s="365"/>
      <c r="D78" s="422"/>
      <c r="E78" s="419"/>
      <c r="F78" s="384"/>
    </row>
    <row r="79" spans="1:6" x14ac:dyDescent="0.25">
      <c r="A79" s="447" t="s">
        <v>26</v>
      </c>
      <c r="B79" s="421" t="s">
        <v>124</v>
      </c>
      <c r="C79" s="365"/>
      <c r="D79" s="418"/>
      <c r="E79" s="419"/>
      <c r="F79" s="368"/>
    </row>
    <row r="80" spans="1:6" ht="15.75" thickBot="1" x14ac:dyDescent="0.3">
      <c r="A80" s="449" t="s">
        <v>27</v>
      </c>
      <c r="B80" s="425" t="s">
        <v>125</v>
      </c>
      <c r="C80" s="365"/>
      <c r="D80" s="450"/>
      <c r="E80" s="426"/>
      <c r="F80" s="386"/>
    </row>
    <row r="81" spans="1:6" ht="15.75" thickBot="1" x14ac:dyDescent="0.3">
      <c r="A81" s="451" t="s">
        <v>29</v>
      </c>
      <c r="B81" s="452" t="s">
        <v>127</v>
      </c>
      <c r="C81" s="381"/>
      <c r="D81" s="453"/>
      <c r="E81" s="460"/>
      <c r="F81" s="391"/>
    </row>
    <row r="82" spans="1:6" ht="15.75" thickBot="1" x14ac:dyDescent="0.3">
      <c r="A82" s="413" t="s">
        <v>52</v>
      </c>
      <c r="B82" s="414" t="s">
        <v>130</v>
      </c>
      <c r="C82" s="363">
        <f>C83</f>
        <v>10927.733</v>
      </c>
      <c r="D82" s="415">
        <f>D83</f>
        <v>10927.733</v>
      </c>
      <c r="E82" s="415">
        <f>E83</f>
        <v>10927.733</v>
      </c>
      <c r="F82" s="385">
        <f t="shared" si="1"/>
        <v>1</v>
      </c>
    </row>
    <row r="83" spans="1:6" ht="15.75" thickBot="1" x14ac:dyDescent="0.3">
      <c r="A83" s="454" t="s">
        <v>128</v>
      </c>
      <c r="B83" s="455" t="s">
        <v>129</v>
      </c>
      <c r="C83" s="377">
        <v>10927.733</v>
      </c>
      <c r="D83" s="456">
        <v>10927.733</v>
      </c>
      <c r="E83" s="426">
        <v>10927.733</v>
      </c>
      <c r="F83" s="393">
        <f t="shared" si="1"/>
        <v>1</v>
      </c>
    </row>
    <row r="84" spans="1:6" ht="15.75" thickBot="1" x14ac:dyDescent="0.3">
      <c r="A84" s="413" t="s">
        <v>54</v>
      </c>
      <c r="B84" s="414" t="s">
        <v>131</v>
      </c>
      <c r="C84" s="363"/>
      <c r="D84" s="453"/>
      <c r="E84" s="460"/>
      <c r="F84" s="391"/>
    </row>
    <row r="85" spans="1:6" ht="15.75" thickBot="1" x14ac:dyDescent="0.3">
      <c r="A85" s="413" t="s">
        <v>56</v>
      </c>
      <c r="B85" s="414" t="s">
        <v>132</v>
      </c>
      <c r="C85" s="363"/>
      <c r="D85" s="453"/>
      <c r="E85" s="460"/>
      <c r="F85" s="391"/>
    </row>
    <row r="86" spans="1:6" ht="15.75" thickBot="1" x14ac:dyDescent="0.3">
      <c r="A86" s="413" t="s">
        <v>133</v>
      </c>
      <c r="B86" s="414" t="s">
        <v>134</v>
      </c>
      <c r="C86" s="363"/>
      <c r="D86" s="453"/>
      <c r="E86" s="460"/>
      <c r="F86" s="391"/>
    </row>
    <row r="87" spans="1:6" ht="15.75" thickBot="1" x14ac:dyDescent="0.3">
      <c r="A87" s="413" t="s">
        <v>59</v>
      </c>
      <c r="B87" s="414" t="s">
        <v>135</v>
      </c>
      <c r="C87" s="363">
        <f>C77+C81+C82+C84+C85+C86</f>
        <v>10927.733</v>
      </c>
      <c r="D87" s="415">
        <f>D77+D81+D82+D84+D85+D86</f>
        <v>10927.733</v>
      </c>
      <c r="E87" s="415">
        <f>E77+E81+E82+E84+E85+E86</f>
        <v>10927.733</v>
      </c>
      <c r="F87" s="385">
        <f t="shared" si="1"/>
        <v>1</v>
      </c>
    </row>
    <row r="88" spans="1:6" ht="15.75" thickBot="1" x14ac:dyDescent="0.3">
      <c r="A88" s="413" t="s">
        <v>67</v>
      </c>
      <c r="B88" s="414" t="s">
        <v>136</v>
      </c>
      <c r="C88" s="363">
        <f>C76+C87</f>
        <v>526498.33299999998</v>
      </c>
      <c r="D88" s="415">
        <f>D76+D87</f>
        <v>542656.48900000006</v>
      </c>
      <c r="E88" s="415">
        <f>E76+E87</f>
        <v>264564.74599999998</v>
      </c>
      <c r="F88" s="385">
        <f t="shared" si="1"/>
        <v>0.48753631692037125</v>
      </c>
    </row>
    <row r="90" spans="1:6" s="378" customFormat="1" ht="29.25" customHeight="1" x14ac:dyDescent="0.25">
      <c r="A90" s="540" t="s">
        <v>141</v>
      </c>
      <c r="B90" s="540"/>
      <c r="C90" s="540"/>
      <c r="D90" s="457"/>
      <c r="E90" s="379"/>
      <c r="F90" s="380"/>
    </row>
    <row r="91" spans="1:6" ht="15.75" thickBot="1" x14ac:dyDescent="0.3">
      <c r="A91" s="404" t="s">
        <v>142</v>
      </c>
      <c r="B91" s="189"/>
      <c r="C91" s="358"/>
    </row>
    <row r="92" spans="1:6" ht="30" thickBot="1" x14ac:dyDescent="0.3">
      <c r="A92" s="413" t="s">
        <v>3</v>
      </c>
      <c r="B92" s="458" t="s">
        <v>143</v>
      </c>
      <c r="C92" s="363">
        <f>C35-C76</f>
        <v>-11627.720999999961</v>
      </c>
      <c r="D92" s="415">
        <f>D35-D76</f>
        <v>-17285.236000000092</v>
      </c>
      <c r="E92" s="438">
        <f>E35-E76</f>
        <v>7880.1150000000198</v>
      </c>
      <c r="F92" s="394"/>
    </row>
    <row r="93" spans="1:6" ht="30" thickBot="1" x14ac:dyDescent="0.3">
      <c r="A93" s="413" t="s">
        <v>5</v>
      </c>
      <c r="B93" s="458" t="s">
        <v>144</v>
      </c>
      <c r="C93" s="363">
        <f>C48-C87</f>
        <v>11627.721000000001</v>
      </c>
      <c r="D93" s="415">
        <f>D48-D87</f>
        <v>17285.236000000001</v>
      </c>
      <c r="E93" s="438">
        <f>E48-E87</f>
        <v>17285.236000000001</v>
      </c>
      <c r="F93" s="394"/>
    </row>
  </sheetData>
  <mergeCells count="7">
    <mergeCell ref="A90:C90"/>
    <mergeCell ref="A1:F1"/>
    <mergeCell ref="A2:F2"/>
    <mergeCell ref="A3:F3"/>
    <mergeCell ref="A4:F4"/>
    <mergeCell ref="A5:F5"/>
    <mergeCell ref="A51:F51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4"/>
  <sheetViews>
    <sheetView view="pageBreakPreview" topLeftCell="A39" zoomScaleNormal="100" zoomScaleSheetLayoutView="100" workbookViewId="0">
      <selection activeCell="E70" sqref="E70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5.28515625" style="164" customWidth="1"/>
    <col min="4" max="4" width="15.7109375" style="231" customWidth="1"/>
    <col min="5" max="5" width="13.7109375" style="164" bestFit="1" customWidth="1"/>
    <col min="6" max="6" width="10.5703125" style="354" bestFit="1" customWidth="1"/>
    <col min="7" max="16384" width="9.140625" style="2"/>
  </cols>
  <sheetData>
    <row r="1" spans="1:6" x14ac:dyDescent="0.25">
      <c r="A1" s="539" t="s">
        <v>402</v>
      </c>
      <c r="B1" s="539"/>
      <c r="C1" s="539"/>
      <c r="D1" s="539"/>
      <c r="E1" s="539"/>
      <c r="F1" s="539"/>
    </row>
    <row r="2" spans="1:6" s="1" customFormat="1" x14ac:dyDescent="0.25">
      <c r="A2" s="538" t="s">
        <v>0</v>
      </c>
      <c r="B2" s="538"/>
      <c r="C2" s="538"/>
      <c r="D2" s="538"/>
      <c r="E2" s="538"/>
      <c r="F2" s="538"/>
    </row>
    <row r="3" spans="1:6" s="1" customFormat="1" ht="44.25" customHeight="1" x14ac:dyDescent="0.25">
      <c r="A3" s="544" t="s">
        <v>403</v>
      </c>
      <c r="B3" s="544"/>
      <c r="C3" s="544"/>
      <c r="D3" s="544"/>
      <c r="E3" s="544"/>
      <c r="F3" s="544"/>
    </row>
    <row r="4" spans="1:6" s="1" customFormat="1" x14ac:dyDescent="0.25">
      <c r="A4" s="544" t="s">
        <v>380</v>
      </c>
      <c r="B4" s="544"/>
      <c r="C4" s="544"/>
      <c r="D4" s="544"/>
      <c r="E4" s="544"/>
      <c r="F4" s="544"/>
    </row>
    <row r="5" spans="1:6" s="1" customFormat="1" x14ac:dyDescent="0.25">
      <c r="A5" s="538" t="s">
        <v>1</v>
      </c>
      <c r="B5" s="538"/>
      <c r="C5" s="538"/>
      <c r="D5" s="538"/>
      <c r="E5" s="538"/>
      <c r="F5" s="538"/>
    </row>
    <row r="6" spans="1:6" s="1" customFormat="1" ht="16.5" thickBot="1" x14ac:dyDescent="0.3">
      <c r="A6" s="18" t="s">
        <v>87</v>
      </c>
      <c r="C6" s="159"/>
      <c r="D6" s="232"/>
      <c r="E6" s="160"/>
      <c r="F6" s="353"/>
    </row>
    <row r="7" spans="1:6" s="3" customFormat="1" ht="16.5" thickBot="1" x14ac:dyDescent="0.3">
      <c r="A7" s="5">
        <v>1</v>
      </c>
      <c r="B7" s="6">
        <v>2</v>
      </c>
      <c r="C7" s="199">
        <v>3</v>
      </c>
      <c r="D7" s="257">
        <v>4</v>
      </c>
      <c r="E7" s="399">
        <v>5</v>
      </c>
      <c r="F7" s="399">
        <v>6</v>
      </c>
    </row>
    <row r="8" spans="1:6" s="1" customFormat="1" ht="32.25" thickBot="1" x14ac:dyDescent="0.3">
      <c r="A8" s="7" t="s">
        <v>4</v>
      </c>
      <c r="B8" s="6" t="s">
        <v>2</v>
      </c>
      <c r="C8" s="207" t="s">
        <v>396</v>
      </c>
      <c r="D8" s="258" t="s">
        <v>397</v>
      </c>
      <c r="E8" s="344" t="s">
        <v>398</v>
      </c>
      <c r="F8" s="338" t="s">
        <v>399</v>
      </c>
    </row>
    <row r="9" spans="1:6" s="1" customFormat="1" ht="16.5" thickBot="1" x14ac:dyDescent="0.3">
      <c r="A9" s="14" t="s">
        <v>3</v>
      </c>
      <c r="B9" s="9" t="s">
        <v>16</v>
      </c>
      <c r="C9" s="200">
        <f>SUM(C10:C15)</f>
        <v>34830</v>
      </c>
      <c r="D9" s="259">
        <f>SUM(D10:D15)</f>
        <v>41122</v>
      </c>
      <c r="E9" s="259">
        <f>SUM(E10:E15)</f>
        <v>21383.439999999999</v>
      </c>
      <c r="F9" s="340">
        <f>E9/D9</f>
        <v>0.52</v>
      </c>
    </row>
    <row r="10" spans="1:6" x14ac:dyDescent="0.25">
      <c r="A10" s="15" t="s">
        <v>6</v>
      </c>
      <c r="B10" s="8" t="s">
        <v>30</v>
      </c>
      <c r="C10" s="201"/>
      <c r="D10" s="260"/>
      <c r="E10" s="162"/>
      <c r="F10" s="337"/>
    </row>
    <row r="11" spans="1:6" x14ac:dyDescent="0.25">
      <c r="A11" s="16" t="s">
        <v>7</v>
      </c>
      <c r="B11" s="4" t="s">
        <v>31</v>
      </c>
      <c r="C11" s="202"/>
      <c r="D11" s="260"/>
      <c r="E11" s="162"/>
      <c r="F11" s="335"/>
    </row>
    <row r="12" spans="1:6" x14ac:dyDescent="0.25">
      <c r="A12" s="16" t="s">
        <v>8</v>
      </c>
      <c r="B12" s="4" t="s">
        <v>32</v>
      </c>
      <c r="C12" s="202">
        <v>34830</v>
      </c>
      <c r="D12" s="260">
        <v>41122</v>
      </c>
      <c r="E12" s="162">
        <v>21383.439999999999</v>
      </c>
      <c r="F12" s="332">
        <f t="shared" ref="F12:F50" si="0">E12/D12</f>
        <v>0.52</v>
      </c>
    </row>
    <row r="13" spans="1:6" x14ac:dyDescent="0.25">
      <c r="A13" s="16" t="s">
        <v>9</v>
      </c>
      <c r="B13" s="4" t="s">
        <v>33</v>
      </c>
      <c r="C13" s="202"/>
      <c r="D13" s="260"/>
      <c r="E13" s="162"/>
      <c r="F13" s="335"/>
    </row>
    <row r="14" spans="1:6" x14ac:dyDescent="0.25">
      <c r="A14" s="16" t="s">
        <v>10</v>
      </c>
      <c r="B14" s="4" t="s">
        <v>34</v>
      </c>
      <c r="C14" s="202"/>
      <c r="D14" s="260"/>
      <c r="E14" s="162"/>
      <c r="F14" s="335"/>
    </row>
    <row r="15" spans="1:6" ht="16.5" thickBot="1" x14ac:dyDescent="0.3">
      <c r="A15" s="17" t="s">
        <v>11</v>
      </c>
      <c r="B15" s="10" t="s">
        <v>362</v>
      </c>
      <c r="C15" s="203"/>
      <c r="D15" s="260"/>
      <c r="E15" s="162"/>
      <c r="F15" s="341"/>
    </row>
    <row r="16" spans="1:6" s="1" customFormat="1" ht="16.5" thickBot="1" x14ac:dyDescent="0.3">
      <c r="A16" s="14" t="s">
        <v>5</v>
      </c>
      <c r="B16" s="9" t="s">
        <v>39</v>
      </c>
      <c r="C16" s="200">
        <f>SUM(C17:C18)</f>
        <v>32493</v>
      </c>
      <c r="D16" s="200">
        <f>SUM(D17:D18)</f>
        <v>57239.5</v>
      </c>
      <c r="E16" s="259">
        <f>SUM(E17:E18)</f>
        <v>39812.622000000003</v>
      </c>
      <c r="F16" s="340">
        <f t="shared" si="0"/>
        <v>0.69554454528778209</v>
      </c>
    </row>
    <row r="17" spans="1:6" x14ac:dyDescent="0.25">
      <c r="A17" s="15" t="s">
        <v>12</v>
      </c>
      <c r="B17" s="8" t="s">
        <v>36</v>
      </c>
      <c r="C17" s="201"/>
      <c r="D17" s="260"/>
      <c r="E17" s="162"/>
      <c r="F17" s="337"/>
    </row>
    <row r="18" spans="1:6" x14ac:dyDescent="0.25">
      <c r="A18" s="16" t="s">
        <v>13</v>
      </c>
      <c r="B18" s="4" t="s">
        <v>37</v>
      </c>
      <c r="C18" s="202">
        <v>32493</v>
      </c>
      <c r="D18" s="260">
        <v>57239.5</v>
      </c>
      <c r="E18" s="162">
        <v>39812.622000000003</v>
      </c>
      <c r="F18" s="332">
        <f t="shared" si="0"/>
        <v>0.69554454528778209</v>
      </c>
    </row>
    <row r="19" spans="1:6" ht="16.5" thickBot="1" x14ac:dyDescent="0.3">
      <c r="A19" s="17" t="s">
        <v>14</v>
      </c>
      <c r="B19" s="10" t="s">
        <v>38</v>
      </c>
      <c r="C19" s="203">
        <v>28965</v>
      </c>
      <c r="D19" s="260">
        <v>53711.5</v>
      </c>
      <c r="E19" s="162">
        <v>23476.5</v>
      </c>
      <c r="F19" s="341"/>
    </row>
    <row r="20" spans="1:6" s="1" customFormat="1" ht="16.5" thickBot="1" x14ac:dyDescent="0.3">
      <c r="A20" s="14" t="s">
        <v>15</v>
      </c>
      <c r="B20" s="9" t="s">
        <v>43</v>
      </c>
      <c r="C20" s="200">
        <f>SUM(C21:C22)</f>
        <v>322909</v>
      </c>
      <c r="D20" s="259">
        <f>SUM(D21:D22)</f>
        <v>313129.05499999999</v>
      </c>
      <c r="E20" s="259">
        <f>SUM(E21:E22)</f>
        <v>16270</v>
      </c>
      <c r="F20" s="340">
        <f t="shared" si="0"/>
        <v>5.1959406960813651E-2</v>
      </c>
    </row>
    <row r="21" spans="1:6" x14ac:dyDescent="0.25">
      <c r="A21" s="15" t="s">
        <v>17</v>
      </c>
      <c r="B21" s="8" t="s">
        <v>40</v>
      </c>
      <c r="C21" s="201">
        <v>15000</v>
      </c>
      <c r="D21" s="260">
        <v>15000</v>
      </c>
      <c r="E21" s="162">
        <v>15000</v>
      </c>
      <c r="F21" s="337"/>
    </row>
    <row r="22" spans="1:6" x14ac:dyDescent="0.25">
      <c r="A22" s="16" t="s">
        <v>18</v>
      </c>
      <c r="B22" s="4" t="s">
        <v>41</v>
      </c>
      <c r="C22" s="202">
        <v>307909</v>
      </c>
      <c r="D22" s="260">
        <v>298129.05499999999</v>
      </c>
      <c r="E22" s="162">
        <v>1270</v>
      </c>
      <c r="F22" s="332">
        <f t="shared" si="0"/>
        <v>4.2599001294925786E-3</v>
      </c>
    </row>
    <row r="23" spans="1:6" ht="16.5" thickBot="1" x14ac:dyDescent="0.3">
      <c r="A23" s="17" t="s">
        <v>19</v>
      </c>
      <c r="B23" s="10" t="s">
        <v>42</v>
      </c>
      <c r="C23" s="203">
        <v>307909</v>
      </c>
      <c r="D23" s="260">
        <v>298129.05499999999</v>
      </c>
      <c r="E23" s="162">
        <v>1270</v>
      </c>
      <c r="F23" s="342">
        <f t="shared" si="0"/>
        <v>4.2599001294925786E-3</v>
      </c>
    </row>
    <row r="24" spans="1:6" s="1" customFormat="1" ht="16.5" thickBot="1" x14ac:dyDescent="0.3">
      <c r="A24" s="14" t="s">
        <v>20</v>
      </c>
      <c r="B24" s="9" t="s">
        <v>21</v>
      </c>
      <c r="C24" s="200">
        <f>C25+C29+C30+C31</f>
        <v>0</v>
      </c>
      <c r="D24" s="259">
        <f>D25+D29+D30+D31</f>
        <v>0</v>
      </c>
      <c r="E24" s="259">
        <f>E25+E29+E30+E31</f>
        <v>0</v>
      </c>
      <c r="F24" s="340"/>
    </row>
    <row r="25" spans="1:6" x14ac:dyDescent="0.25">
      <c r="A25" s="15" t="s">
        <v>22</v>
      </c>
      <c r="B25" s="8" t="s">
        <v>44</v>
      </c>
      <c r="C25" s="201">
        <f>C26+C27+C28</f>
        <v>0</v>
      </c>
      <c r="D25" s="262">
        <f>D26+D27+D28</f>
        <v>0</v>
      </c>
      <c r="E25" s="262">
        <f>E26+E27+E28</f>
        <v>0</v>
      </c>
      <c r="F25" s="337"/>
    </row>
    <row r="26" spans="1:6" x14ac:dyDescent="0.25">
      <c r="A26" s="16" t="s">
        <v>23</v>
      </c>
      <c r="B26" s="4" t="s">
        <v>45</v>
      </c>
      <c r="C26" s="202"/>
      <c r="D26" s="260"/>
      <c r="E26" s="162"/>
      <c r="F26" s="335"/>
    </row>
    <row r="27" spans="1:6" x14ac:dyDescent="0.25">
      <c r="A27" s="16" t="s">
        <v>24</v>
      </c>
      <c r="B27" s="4" t="s">
        <v>46</v>
      </c>
      <c r="C27" s="202"/>
      <c r="D27" s="260"/>
      <c r="E27" s="162"/>
      <c r="F27" s="335"/>
    </row>
    <row r="28" spans="1:6" x14ac:dyDescent="0.25">
      <c r="A28" s="16" t="s">
        <v>25</v>
      </c>
      <c r="B28" s="4" t="s">
        <v>47</v>
      </c>
      <c r="C28" s="202"/>
      <c r="D28" s="260"/>
      <c r="E28" s="162"/>
      <c r="F28" s="335"/>
    </row>
    <row r="29" spans="1:6" x14ac:dyDescent="0.25">
      <c r="A29" s="16" t="s">
        <v>26</v>
      </c>
      <c r="B29" s="4" t="s">
        <v>48</v>
      </c>
      <c r="C29" s="202"/>
      <c r="D29" s="260"/>
      <c r="E29" s="162"/>
      <c r="F29" s="335"/>
    </row>
    <row r="30" spans="1:6" x14ac:dyDescent="0.25">
      <c r="A30" s="16" t="s">
        <v>27</v>
      </c>
      <c r="B30" s="4" t="s">
        <v>49</v>
      </c>
      <c r="C30" s="202"/>
      <c r="D30" s="260"/>
      <c r="E30" s="162"/>
      <c r="F30" s="335"/>
    </row>
    <row r="31" spans="1:6" ht="16.5" thickBot="1" x14ac:dyDescent="0.3">
      <c r="A31" s="17" t="s">
        <v>28</v>
      </c>
      <c r="B31" s="10" t="s">
        <v>50</v>
      </c>
      <c r="C31" s="203"/>
      <c r="D31" s="264"/>
      <c r="E31" s="163"/>
      <c r="F31" s="341"/>
    </row>
    <row r="32" spans="1:6" s="1" customFormat="1" ht="16.5" thickBot="1" x14ac:dyDescent="0.3">
      <c r="A32" s="14" t="s">
        <v>29</v>
      </c>
      <c r="B32" s="9" t="s">
        <v>51</v>
      </c>
      <c r="C32" s="200">
        <v>33986</v>
      </c>
      <c r="D32" s="259">
        <v>33986</v>
      </c>
      <c r="E32" s="166">
        <v>15124.409</v>
      </c>
      <c r="F32" s="340">
        <f t="shared" si="0"/>
        <v>0.44501880185958925</v>
      </c>
    </row>
    <row r="33" spans="1:6" s="1" customFormat="1" ht="16.5" thickBot="1" x14ac:dyDescent="0.3">
      <c r="A33" s="19" t="s">
        <v>52</v>
      </c>
      <c r="B33" s="20" t="s">
        <v>53</v>
      </c>
      <c r="C33" s="204"/>
      <c r="D33" s="396"/>
      <c r="E33" s="400"/>
      <c r="F33" s="343"/>
    </row>
    <row r="34" spans="1:6" s="1" customFormat="1" ht="16.5" thickBot="1" x14ac:dyDescent="0.3">
      <c r="A34" s="14" t="s">
        <v>54</v>
      </c>
      <c r="B34" s="9" t="s">
        <v>161</v>
      </c>
      <c r="C34" s="200">
        <v>210</v>
      </c>
      <c r="D34" s="259">
        <v>210</v>
      </c>
      <c r="E34" s="166"/>
      <c r="F34" s="340">
        <f t="shared" si="0"/>
        <v>0</v>
      </c>
    </row>
    <row r="35" spans="1:6" s="1" customFormat="1" ht="16.5" thickBot="1" x14ac:dyDescent="0.3">
      <c r="A35" s="14" t="s">
        <v>56</v>
      </c>
      <c r="B35" s="9" t="s">
        <v>57</v>
      </c>
      <c r="C35" s="200"/>
      <c r="D35" s="397"/>
      <c r="E35" s="166"/>
      <c r="F35" s="340" t="e">
        <f t="shared" si="0"/>
        <v>#DIV/0!</v>
      </c>
    </row>
    <row r="36" spans="1:6" s="1" customFormat="1" ht="16.5" thickBot="1" x14ac:dyDescent="0.3">
      <c r="A36" s="14" t="s">
        <v>58</v>
      </c>
      <c r="B36" s="9" t="s">
        <v>137</v>
      </c>
      <c r="C36" s="200">
        <f>C9+C16+C20+C24+C32+C33+C34+C35</f>
        <v>424428</v>
      </c>
      <c r="D36" s="259">
        <f>D9+D16+D20+D24+D32+D33+D34+D35</f>
        <v>445686.55499999999</v>
      </c>
      <c r="E36" s="259">
        <f>E9+E16+E20+E24+E32+E33+E34+E35</f>
        <v>92590.471000000005</v>
      </c>
      <c r="F36" s="340">
        <f t="shared" si="0"/>
        <v>0.20774795640851226</v>
      </c>
    </row>
    <row r="37" spans="1:6" s="1" customFormat="1" ht="16.5" thickBot="1" x14ac:dyDescent="0.3">
      <c r="A37" s="14" t="s">
        <v>59</v>
      </c>
      <c r="B37" s="9" t="s">
        <v>60</v>
      </c>
      <c r="C37" s="200">
        <f>SUM(C38:C40)</f>
        <v>0</v>
      </c>
      <c r="D37" s="259">
        <f>SUM(D38:D40)</f>
        <v>0</v>
      </c>
      <c r="E37" s="166"/>
      <c r="F37" s="340"/>
    </row>
    <row r="38" spans="1:6" x14ac:dyDescent="0.25">
      <c r="A38" s="15" t="s">
        <v>61</v>
      </c>
      <c r="B38" s="8" t="s">
        <v>62</v>
      </c>
      <c r="C38" s="201"/>
      <c r="D38" s="260"/>
      <c r="E38" s="161"/>
      <c r="F38" s="337"/>
    </row>
    <row r="39" spans="1:6" x14ac:dyDescent="0.25">
      <c r="A39" s="16" t="s">
        <v>63</v>
      </c>
      <c r="B39" s="4" t="s">
        <v>64</v>
      </c>
      <c r="C39" s="202"/>
      <c r="D39" s="260"/>
      <c r="E39" s="162"/>
      <c r="F39" s="335"/>
    </row>
    <row r="40" spans="1:6" ht="16.5" thickBot="1" x14ac:dyDescent="0.3">
      <c r="A40" s="17" t="s">
        <v>65</v>
      </c>
      <c r="B40" s="10" t="s">
        <v>66</v>
      </c>
      <c r="C40" s="203"/>
      <c r="D40" s="264"/>
      <c r="E40" s="163"/>
      <c r="F40" s="341"/>
    </row>
    <row r="41" spans="1:6" s="1" customFormat="1" ht="16.5" thickBot="1" x14ac:dyDescent="0.3">
      <c r="A41" s="14" t="s">
        <v>67</v>
      </c>
      <c r="B41" s="9" t="s">
        <v>68</v>
      </c>
      <c r="C41" s="200"/>
      <c r="D41" s="259"/>
      <c r="E41" s="166"/>
      <c r="F41" s="340"/>
    </row>
    <row r="42" spans="1:6" s="1" customFormat="1" ht="16.5" thickBot="1" x14ac:dyDescent="0.3">
      <c r="A42" s="14" t="s">
        <v>69</v>
      </c>
      <c r="B42" s="9" t="s">
        <v>70</v>
      </c>
      <c r="C42" s="200">
        <v>435418.299</v>
      </c>
      <c r="D42" s="259">
        <v>436401.68699999998</v>
      </c>
      <c r="E42" s="166">
        <v>436401.68699999998</v>
      </c>
      <c r="F42" s="340">
        <f t="shared" si="0"/>
        <v>1</v>
      </c>
    </row>
    <row r="43" spans="1:6" s="1" customFormat="1" ht="16.5" thickBot="1" x14ac:dyDescent="0.3">
      <c r="A43" s="14" t="s">
        <v>71</v>
      </c>
      <c r="B43" s="9" t="s">
        <v>72</v>
      </c>
      <c r="C43" s="200">
        <f>C44+C45</f>
        <v>0</v>
      </c>
      <c r="D43" s="259">
        <f>D44+D45</f>
        <v>0</v>
      </c>
      <c r="E43" s="259">
        <f>E44+E45</f>
        <v>0</v>
      </c>
      <c r="F43" s="340"/>
    </row>
    <row r="44" spans="1:6" x14ac:dyDescent="0.25">
      <c r="A44" s="15" t="s">
        <v>73</v>
      </c>
      <c r="B44" s="8" t="s">
        <v>74</v>
      </c>
      <c r="C44" s="201"/>
      <c r="D44" s="260"/>
      <c r="E44" s="161"/>
      <c r="F44" s="337"/>
    </row>
    <row r="45" spans="1:6" ht="16.5" thickBot="1" x14ac:dyDescent="0.3">
      <c r="A45" s="17" t="s">
        <v>75</v>
      </c>
      <c r="B45" s="10" t="s">
        <v>76</v>
      </c>
      <c r="C45" s="203"/>
      <c r="D45" s="264"/>
      <c r="E45" s="163"/>
      <c r="F45" s="341"/>
    </row>
    <row r="46" spans="1:6" s="1" customFormat="1" ht="16.5" thickBot="1" x14ac:dyDescent="0.3">
      <c r="A46" s="14" t="s">
        <v>77</v>
      </c>
      <c r="B46" s="9" t="s">
        <v>78</v>
      </c>
      <c r="C46" s="200"/>
      <c r="D46" s="259"/>
      <c r="E46" s="166"/>
      <c r="F46" s="340"/>
    </row>
    <row r="47" spans="1:6" s="1" customFormat="1" ht="16.5" thickBot="1" x14ac:dyDescent="0.3">
      <c r="A47" s="14" t="s">
        <v>79</v>
      </c>
      <c r="B47" s="9" t="s">
        <v>80</v>
      </c>
      <c r="C47" s="200"/>
      <c r="D47" s="259"/>
      <c r="E47" s="166"/>
      <c r="F47" s="340"/>
    </row>
    <row r="48" spans="1:6" s="1" customFormat="1" ht="16.5" thickBot="1" x14ac:dyDescent="0.3">
      <c r="A48" s="14" t="s">
        <v>81</v>
      </c>
      <c r="B48" s="9" t="s">
        <v>82</v>
      </c>
      <c r="C48" s="200"/>
      <c r="D48" s="259"/>
      <c r="E48" s="166"/>
      <c r="F48" s="340"/>
    </row>
    <row r="49" spans="1:6" s="1" customFormat="1" ht="16.5" thickBot="1" x14ac:dyDescent="0.3">
      <c r="A49" s="14" t="s">
        <v>83</v>
      </c>
      <c r="B49" s="9" t="s">
        <v>84</v>
      </c>
      <c r="C49" s="200">
        <f>C37+C41+C42+C43+C46+C47+C48</f>
        <v>435418.299</v>
      </c>
      <c r="D49" s="259">
        <f>D37+D41+D42+D43+D46+D47+D48</f>
        <v>436401.68699999998</v>
      </c>
      <c r="E49" s="259">
        <f>E37+E41+E42+E43+E46+E47+E48</f>
        <v>436401.68699999998</v>
      </c>
      <c r="F49" s="340">
        <f t="shared" si="0"/>
        <v>1</v>
      </c>
    </row>
    <row r="50" spans="1:6" s="1" customFormat="1" ht="32.25" thickBot="1" x14ac:dyDescent="0.3">
      <c r="A50" s="14" t="s">
        <v>85</v>
      </c>
      <c r="B50" s="11" t="s">
        <v>86</v>
      </c>
      <c r="C50" s="200">
        <f>C36+C49</f>
        <v>859846.299</v>
      </c>
      <c r="D50" s="259">
        <f>D36+D49</f>
        <v>882088.24199999997</v>
      </c>
      <c r="E50" s="259">
        <f>E36+E49</f>
        <v>528992.15799999994</v>
      </c>
      <c r="F50" s="340">
        <f t="shared" si="0"/>
        <v>0.59970435248132459</v>
      </c>
    </row>
    <row r="52" spans="1:6" x14ac:dyDescent="0.25">
      <c r="A52" s="538" t="s">
        <v>88</v>
      </c>
      <c r="B52" s="538"/>
      <c r="C52" s="538"/>
    </row>
    <row r="53" spans="1:6" ht="16.5" thickBot="1" x14ac:dyDescent="0.3">
      <c r="A53" s="18" t="s">
        <v>89</v>
      </c>
      <c r="B53" s="1"/>
      <c r="C53" s="160"/>
    </row>
    <row r="54" spans="1:6" ht="32.25" thickBot="1" x14ac:dyDescent="0.3">
      <c r="A54" s="24" t="s">
        <v>4</v>
      </c>
      <c r="B54" s="9" t="s">
        <v>90</v>
      </c>
      <c r="C54" s="207" t="s">
        <v>396</v>
      </c>
      <c r="D54" s="398" t="s">
        <v>397</v>
      </c>
      <c r="E54" s="344" t="s">
        <v>398</v>
      </c>
      <c r="F54" s="402" t="s">
        <v>399</v>
      </c>
    </row>
    <row r="55" spans="1:6" ht="16.5" thickBot="1" x14ac:dyDescent="0.3">
      <c r="A55" s="14" t="s">
        <v>3</v>
      </c>
      <c r="B55" s="9" t="s">
        <v>108</v>
      </c>
      <c r="C55" s="200">
        <f>C56+C57+C58+C59+C60+C66</f>
        <v>252924.299</v>
      </c>
      <c r="D55" s="259">
        <f>D56+D57+D58+D59+D60+D66</f>
        <v>281817.76</v>
      </c>
      <c r="E55" s="259">
        <f>E56+E57+E58+E59+E60+E66</f>
        <v>71241.977000000014</v>
      </c>
      <c r="F55" s="340">
        <f>E55/D55</f>
        <v>0.25279449031175327</v>
      </c>
    </row>
    <row r="56" spans="1:6" x14ac:dyDescent="0.25">
      <c r="A56" s="21" t="s">
        <v>6</v>
      </c>
      <c r="B56" s="8" t="s">
        <v>91</v>
      </c>
      <c r="C56" s="201">
        <v>73802</v>
      </c>
      <c r="D56" s="260">
        <v>97220.6</v>
      </c>
      <c r="E56" s="201">
        <v>28294.453000000001</v>
      </c>
      <c r="F56" s="339">
        <f t="shared" ref="F56:F89" si="1">E56/D56</f>
        <v>0.29103351553065915</v>
      </c>
    </row>
    <row r="57" spans="1:6" x14ac:dyDescent="0.25">
      <c r="A57" s="22" t="s">
        <v>7</v>
      </c>
      <c r="B57" s="4" t="s">
        <v>92</v>
      </c>
      <c r="C57" s="202">
        <v>15695</v>
      </c>
      <c r="D57" s="260">
        <v>20262.199000000001</v>
      </c>
      <c r="E57" s="202">
        <v>5591.3509999999997</v>
      </c>
      <c r="F57" s="332">
        <f t="shared" si="1"/>
        <v>0.275949861118233</v>
      </c>
    </row>
    <row r="58" spans="1:6" x14ac:dyDescent="0.25">
      <c r="A58" s="22" t="s">
        <v>8</v>
      </c>
      <c r="B58" s="4" t="s">
        <v>93</v>
      </c>
      <c r="C58" s="202">
        <v>128196</v>
      </c>
      <c r="D58" s="260">
        <v>132048</v>
      </c>
      <c r="E58" s="202">
        <v>33143.330999999998</v>
      </c>
      <c r="F58" s="332">
        <f t="shared" si="1"/>
        <v>0.25099457015630677</v>
      </c>
    </row>
    <row r="59" spans="1:6" x14ac:dyDescent="0.25">
      <c r="A59" s="22" t="s">
        <v>9</v>
      </c>
      <c r="B59" s="4" t="s">
        <v>94</v>
      </c>
      <c r="C59" s="202">
        <v>3400</v>
      </c>
      <c r="D59" s="260">
        <v>3400</v>
      </c>
      <c r="E59" s="202">
        <v>823.81</v>
      </c>
      <c r="F59" s="332">
        <f t="shared" si="1"/>
        <v>0.24229705882352939</v>
      </c>
    </row>
    <row r="60" spans="1:6" x14ac:dyDescent="0.25">
      <c r="A60" s="22" t="s">
        <v>10</v>
      </c>
      <c r="B60" s="4" t="s">
        <v>95</v>
      </c>
      <c r="C60" s="202">
        <f>SUM(C61:C65)</f>
        <v>5725</v>
      </c>
      <c r="D60" s="260">
        <f>SUM(D61:D65)</f>
        <v>5925</v>
      </c>
      <c r="E60" s="260">
        <f>SUM(E61:E65)</f>
        <v>3389.0320000000002</v>
      </c>
      <c r="F60" s="332">
        <f t="shared" si="1"/>
        <v>0.57198852320675109</v>
      </c>
    </row>
    <row r="61" spans="1:6" x14ac:dyDescent="0.25">
      <c r="A61" s="22" t="s">
        <v>11</v>
      </c>
      <c r="B61" s="23" t="s">
        <v>374</v>
      </c>
      <c r="C61" s="202"/>
      <c r="D61" s="260"/>
      <c r="E61" s="202"/>
      <c r="F61" s="332"/>
    </row>
    <row r="62" spans="1:6" x14ac:dyDescent="0.25">
      <c r="A62" s="22" t="s">
        <v>97</v>
      </c>
      <c r="B62" s="4" t="s">
        <v>103</v>
      </c>
      <c r="C62" s="202"/>
      <c r="D62" s="260"/>
      <c r="E62" s="202"/>
      <c r="F62" s="332"/>
    </row>
    <row r="63" spans="1:6" x14ac:dyDescent="0.25">
      <c r="A63" s="22" t="s">
        <v>98</v>
      </c>
      <c r="B63" s="4" t="s">
        <v>138</v>
      </c>
      <c r="C63" s="202"/>
      <c r="D63" s="260"/>
      <c r="E63" s="202"/>
      <c r="F63" s="332"/>
    </row>
    <row r="64" spans="1:6" x14ac:dyDescent="0.25">
      <c r="A64" s="22" t="s">
        <v>99</v>
      </c>
      <c r="B64" s="4" t="s">
        <v>139</v>
      </c>
      <c r="C64" s="202">
        <v>1475</v>
      </c>
      <c r="D64" s="260">
        <v>1475</v>
      </c>
      <c r="E64" s="202">
        <v>589.03200000000004</v>
      </c>
      <c r="F64" s="332">
        <f t="shared" si="1"/>
        <v>0.39934372881355934</v>
      </c>
    </row>
    <row r="65" spans="1:6" x14ac:dyDescent="0.25">
      <c r="A65" s="22" t="s">
        <v>100</v>
      </c>
      <c r="B65" s="4" t="s">
        <v>140</v>
      </c>
      <c r="C65" s="202">
        <v>4250</v>
      </c>
      <c r="D65" s="260">
        <v>4450</v>
      </c>
      <c r="E65" s="202">
        <v>2800</v>
      </c>
      <c r="F65" s="332">
        <f t="shared" si="1"/>
        <v>0.6292134831460674</v>
      </c>
    </row>
    <row r="66" spans="1:6" x14ac:dyDescent="0.25">
      <c r="A66" s="22" t="s">
        <v>101</v>
      </c>
      <c r="B66" s="4" t="s">
        <v>102</v>
      </c>
      <c r="C66" s="202">
        <f>SUM(C67:C68)</f>
        <v>26106.298999999999</v>
      </c>
      <c r="D66" s="260">
        <f>SUM(D67:D68)</f>
        <v>22961.960999999999</v>
      </c>
      <c r="E66" s="202"/>
      <c r="F66" s="332">
        <f t="shared" si="1"/>
        <v>0</v>
      </c>
    </row>
    <row r="67" spans="1:6" x14ac:dyDescent="0.25">
      <c r="A67" s="22" t="s">
        <v>104</v>
      </c>
      <c r="B67" s="4" t="s">
        <v>105</v>
      </c>
      <c r="C67" s="202">
        <v>10951.066999999999</v>
      </c>
      <c r="D67" s="260">
        <v>3503.73</v>
      </c>
      <c r="E67" s="202"/>
      <c r="F67" s="332">
        <f t="shared" si="1"/>
        <v>0</v>
      </c>
    </row>
    <row r="68" spans="1:6" ht="16.5" thickBot="1" x14ac:dyDescent="0.3">
      <c r="A68" s="25" t="s">
        <v>106</v>
      </c>
      <c r="B68" s="10" t="s">
        <v>107</v>
      </c>
      <c r="C68" s="203">
        <v>15155.232</v>
      </c>
      <c r="D68" s="260">
        <v>19458.231</v>
      </c>
      <c r="E68" s="202"/>
      <c r="F68" s="342">
        <f t="shared" si="1"/>
        <v>0</v>
      </c>
    </row>
    <row r="69" spans="1:6" ht="16.5" thickBot="1" x14ac:dyDescent="0.3">
      <c r="A69" s="14" t="s">
        <v>5</v>
      </c>
      <c r="B69" s="9" t="s">
        <v>121</v>
      </c>
      <c r="C69" s="200">
        <f>C70+C72+C74</f>
        <v>606922</v>
      </c>
      <c r="D69" s="259">
        <f>D70+D72+D74</f>
        <v>600270.48199999996</v>
      </c>
      <c r="E69" s="259">
        <f>E70+E72+E74</f>
        <v>0</v>
      </c>
      <c r="F69" s="340">
        <f t="shared" si="1"/>
        <v>0</v>
      </c>
    </row>
    <row r="70" spans="1:6" x14ac:dyDescent="0.25">
      <c r="A70" s="21" t="s">
        <v>12</v>
      </c>
      <c r="B70" s="8" t="s">
        <v>109</v>
      </c>
      <c r="C70" s="201">
        <v>606922</v>
      </c>
      <c r="D70" s="260">
        <v>597561.66599999997</v>
      </c>
      <c r="E70" s="162"/>
      <c r="F70" s="403">
        <f t="shared" si="1"/>
        <v>0</v>
      </c>
    </row>
    <row r="71" spans="1:6" x14ac:dyDescent="0.25">
      <c r="A71" s="22" t="s">
        <v>110</v>
      </c>
      <c r="B71" s="4" t="s">
        <v>111</v>
      </c>
      <c r="C71" s="202">
        <v>606922</v>
      </c>
      <c r="D71" s="260">
        <v>595927.43599999999</v>
      </c>
      <c r="E71" s="202"/>
      <c r="F71" s="332">
        <f t="shared" si="1"/>
        <v>0</v>
      </c>
    </row>
    <row r="72" spans="1:6" x14ac:dyDescent="0.25">
      <c r="A72" s="22" t="s">
        <v>14</v>
      </c>
      <c r="B72" s="4" t="s">
        <v>112</v>
      </c>
      <c r="C72" s="202"/>
      <c r="D72" s="260">
        <v>2708.8159999999998</v>
      </c>
      <c r="E72" s="202"/>
      <c r="F72" s="332">
        <f t="shared" si="1"/>
        <v>0</v>
      </c>
    </row>
    <row r="73" spans="1:6" x14ac:dyDescent="0.25">
      <c r="A73" s="22" t="s">
        <v>113</v>
      </c>
      <c r="B73" s="4" t="s">
        <v>114</v>
      </c>
      <c r="C73" s="202"/>
      <c r="D73" s="260"/>
      <c r="E73" s="202"/>
      <c r="F73" s="332"/>
    </row>
    <row r="74" spans="1:6" x14ac:dyDescent="0.25">
      <c r="A74" s="22" t="s">
        <v>115</v>
      </c>
      <c r="B74" s="4" t="s">
        <v>116</v>
      </c>
      <c r="C74" s="202"/>
      <c r="D74" s="260"/>
      <c r="E74" s="202"/>
      <c r="F74" s="332"/>
    </row>
    <row r="75" spans="1:6" x14ac:dyDescent="0.25">
      <c r="A75" s="22" t="s">
        <v>117</v>
      </c>
      <c r="B75" s="4" t="s">
        <v>118</v>
      </c>
      <c r="C75" s="202"/>
      <c r="D75" s="260"/>
      <c r="E75" s="202"/>
      <c r="F75" s="332"/>
    </row>
    <row r="76" spans="1:6" ht="16.5" thickBot="1" x14ac:dyDescent="0.3">
      <c r="A76" s="25" t="s">
        <v>119</v>
      </c>
      <c r="B76" s="10" t="s">
        <v>120</v>
      </c>
      <c r="C76" s="203"/>
      <c r="D76" s="260"/>
      <c r="E76" s="202"/>
      <c r="F76" s="342"/>
    </row>
    <row r="77" spans="1:6" ht="16.5" thickBot="1" x14ac:dyDescent="0.3">
      <c r="A77" s="14" t="s">
        <v>15</v>
      </c>
      <c r="B77" s="9" t="s">
        <v>122</v>
      </c>
      <c r="C77" s="200">
        <f>C55+C69</f>
        <v>859846.299</v>
      </c>
      <c r="D77" s="259">
        <f>D55+D69</f>
        <v>882088.24199999997</v>
      </c>
      <c r="E77" s="259">
        <f>E55+E69</f>
        <v>71241.977000000014</v>
      </c>
      <c r="F77" s="340">
        <f t="shared" si="1"/>
        <v>8.0765136193709758E-2</v>
      </c>
    </row>
    <row r="78" spans="1:6" ht="16.5" thickBot="1" x14ac:dyDescent="0.3">
      <c r="A78" s="14" t="s">
        <v>20</v>
      </c>
      <c r="B78" s="9" t="s">
        <v>126</v>
      </c>
      <c r="C78" s="200">
        <f>SUM(C79:C81)</f>
        <v>0</v>
      </c>
      <c r="D78" s="259">
        <f>SUM(D79:D81)</f>
        <v>0</v>
      </c>
      <c r="E78" s="259">
        <f>SUM(E79:E81)</f>
        <v>0</v>
      </c>
      <c r="F78" s="340"/>
    </row>
    <row r="79" spans="1:6" x14ac:dyDescent="0.25">
      <c r="A79" s="21" t="s">
        <v>22</v>
      </c>
      <c r="B79" s="8" t="s">
        <v>123</v>
      </c>
      <c r="C79" s="201"/>
      <c r="D79" s="261"/>
      <c r="E79" s="202"/>
      <c r="F79" s="339"/>
    </row>
    <row r="80" spans="1:6" x14ac:dyDescent="0.25">
      <c r="A80" s="22" t="s">
        <v>26</v>
      </c>
      <c r="B80" s="4" t="s">
        <v>124</v>
      </c>
      <c r="C80" s="202"/>
      <c r="D80" s="260"/>
      <c r="E80" s="202"/>
      <c r="F80" s="332"/>
    </row>
    <row r="81" spans="1:6" ht="16.5" thickBot="1" x14ac:dyDescent="0.3">
      <c r="A81" s="25" t="s">
        <v>27</v>
      </c>
      <c r="B81" s="10" t="s">
        <v>125</v>
      </c>
      <c r="C81" s="203"/>
      <c r="D81" s="264"/>
      <c r="E81" s="202"/>
      <c r="F81" s="342"/>
    </row>
    <row r="82" spans="1:6" ht="16.5" thickBot="1" x14ac:dyDescent="0.3">
      <c r="A82" s="28" t="s">
        <v>29</v>
      </c>
      <c r="B82" s="29" t="s">
        <v>127</v>
      </c>
      <c r="C82" s="205"/>
      <c r="D82" s="263"/>
      <c r="E82" s="263"/>
      <c r="F82" s="340"/>
    </row>
    <row r="83" spans="1:6" ht="16.5" thickBot="1" x14ac:dyDescent="0.3">
      <c r="A83" s="14" t="s">
        <v>52</v>
      </c>
      <c r="B83" s="9" t="s">
        <v>130</v>
      </c>
      <c r="C83" s="200">
        <f>C84</f>
        <v>0</v>
      </c>
      <c r="D83" s="259">
        <f>D84</f>
        <v>0</v>
      </c>
      <c r="E83" s="259">
        <f>E84</f>
        <v>0</v>
      </c>
      <c r="F83" s="340"/>
    </row>
    <row r="84" spans="1:6" ht="16.5" thickBot="1" x14ac:dyDescent="0.3">
      <c r="A84" s="26" t="s">
        <v>128</v>
      </c>
      <c r="B84" s="27" t="s">
        <v>129</v>
      </c>
      <c r="C84" s="206"/>
      <c r="D84" s="263"/>
      <c r="E84" s="203"/>
      <c r="F84" s="349"/>
    </row>
    <row r="85" spans="1:6" ht="16.5" thickBot="1" x14ac:dyDescent="0.3">
      <c r="A85" s="14" t="s">
        <v>54</v>
      </c>
      <c r="B85" s="9" t="s">
        <v>131</v>
      </c>
      <c r="C85" s="200"/>
      <c r="D85" s="263"/>
      <c r="E85" s="255"/>
      <c r="F85" s="340"/>
    </row>
    <row r="86" spans="1:6" ht="16.5" thickBot="1" x14ac:dyDescent="0.3">
      <c r="A86" s="14" t="s">
        <v>56</v>
      </c>
      <c r="B86" s="9" t="s">
        <v>132</v>
      </c>
      <c r="C86" s="200"/>
      <c r="D86" s="263"/>
      <c r="E86" s="255"/>
      <c r="F86" s="340"/>
    </row>
    <row r="87" spans="1:6" ht="16.5" thickBot="1" x14ac:dyDescent="0.3">
      <c r="A87" s="14" t="s">
        <v>133</v>
      </c>
      <c r="B87" s="9" t="s">
        <v>134</v>
      </c>
      <c r="C87" s="200"/>
      <c r="D87" s="263"/>
      <c r="E87" s="255"/>
      <c r="F87" s="340"/>
    </row>
    <row r="88" spans="1:6" ht="16.5" thickBot="1" x14ac:dyDescent="0.3">
      <c r="A88" s="14" t="s">
        <v>59</v>
      </c>
      <c r="B88" s="9" t="s">
        <v>135</v>
      </c>
      <c r="C88" s="200">
        <f>C78+C82+C83+C85+C86+C87</f>
        <v>0</v>
      </c>
      <c r="D88" s="259">
        <f>D78+D82+D83+D85+D86+D87</f>
        <v>0</v>
      </c>
      <c r="E88" s="259">
        <f>E78+E82+E83+E85+E86+E87</f>
        <v>0</v>
      </c>
      <c r="F88" s="349"/>
    </row>
    <row r="89" spans="1:6" ht="16.5" thickBot="1" x14ac:dyDescent="0.3">
      <c r="A89" s="14" t="s">
        <v>67</v>
      </c>
      <c r="B89" s="9" t="s">
        <v>136</v>
      </c>
      <c r="C89" s="200">
        <f>C77+C88</f>
        <v>859846.299</v>
      </c>
      <c r="D89" s="259">
        <f>D77+D88</f>
        <v>882088.24199999997</v>
      </c>
      <c r="E89" s="259">
        <f>E77+E88</f>
        <v>71241.977000000014</v>
      </c>
      <c r="F89" s="340">
        <f t="shared" si="1"/>
        <v>8.0765136193709758E-2</v>
      </c>
    </row>
    <row r="91" spans="1:6" s="30" customFormat="1" ht="29.25" customHeight="1" x14ac:dyDescent="0.25">
      <c r="A91" s="543" t="s">
        <v>141</v>
      </c>
      <c r="B91" s="543"/>
      <c r="C91" s="543"/>
      <c r="D91" s="233"/>
      <c r="E91" s="352"/>
      <c r="F91" s="355"/>
    </row>
    <row r="92" spans="1:6" ht="16.5" thickBot="1" x14ac:dyDescent="0.3">
      <c r="A92" s="18" t="s">
        <v>142</v>
      </c>
      <c r="B92" s="1"/>
      <c r="C92" s="159"/>
    </row>
    <row r="93" spans="1:6" ht="32.25" thickBot="1" x14ac:dyDescent="0.3">
      <c r="A93" s="14" t="s">
        <v>3</v>
      </c>
      <c r="B93" s="11" t="s">
        <v>143</v>
      </c>
      <c r="C93" s="200">
        <f>C36-C77</f>
        <v>-435418.299</v>
      </c>
      <c r="D93" s="259">
        <f>D36-D77</f>
        <v>-436401.68699999998</v>
      </c>
      <c r="E93" s="401">
        <f>E36-E77</f>
        <v>21348.493999999992</v>
      </c>
      <c r="F93" s="331"/>
    </row>
    <row r="94" spans="1:6" ht="32.25" thickBot="1" x14ac:dyDescent="0.3">
      <c r="A94" s="14" t="s">
        <v>5</v>
      </c>
      <c r="B94" s="11" t="s">
        <v>144</v>
      </c>
      <c r="C94" s="200">
        <f>C49-C88</f>
        <v>435418.299</v>
      </c>
      <c r="D94" s="259">
        <f>D49-D88</f>
        <v>436401.68699999998</v>
      </c>
      <c r="E94" s="401">
        <f>E49-E88</f>
        <v>436401.68699999998</v>
      </c>
      <c r="F94" s="331"/>
    </row>
  </sheetData>
  <mergeCells count="7">
    <mergeCell ref="A91:C91"/>
    <mergeCell ref="A52:C52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94"/>
  <sheetViews>
    <sheetView topLeftCell="A73" workbookViewId="0">
      <selection activeCell="E58" sqref="E58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7.5703125" style="382" customWidth="1"/>
    <col min="4" max="4" width="15.5703125" style="372" customWidth="1"/>
    <col min="5" max="5" width="10.140625" style="373" bestFit="1" customWidth="1"/>
    <col min="6" max="6" width="8.28515625" style="374" bestFit="1" customWidth="1"/>
    <col min="7" max="16384" width="9.140625" style="2"/>
  </cols>
  <sheetData>
    <row r="1" spans="1:6" x14ac:dyDescent="0.25">
      <c r="A1" s="539" t="s">
        <v>404</v>
      </c>
      <c r="B1" s="539"/>
      <c r="C1" s="539"/>
      <c r="D1" s="539"/>
      <c r="E1" s="539"/>
      <c r="F1" s="539"/>
    </row>
    <row r="2" spans="1:6" s="1" customFormat="1" x14ac:dyDescent="0.25">
      <c r="A2" s="538" t="s">
        <v>0</v>
      </c>
      <c r="B2" s="538"/>
      <c r="C2" s="538"/>
      <c r="D2" s="538"/>
      <c r="E2" s="356"/>
      <c r="F2" s="357"/>
    </row>
    <row r="3" spans="1:6" s="1" customFormat="1" ht="40.5" customHeight="1" x14ac:dyDescent="0.25">
      <c r="A3" s="544" t="s">
        <v>405</v>
      </c>
      <c r="B3" s="544"/>
      <c r="C3" s="544"/>
      <c r="D3" s="544"/>
      <c r="E3" s="544"/>
      <c r="F3" s="544"/>
    </row>
    <row r="4" spans="1:6" s="1" customFormat="1" x14ac:dyDescent="0.25">
      <c r="A4" s="544" t="s">
        <v>380</v>
      </c>
      <c r="B4" s="544"/>
      <c r="C4" s="544"/>
      <c r="D4" s="544"/>
      <c r="E4" s="544"/>
      <c r="F4" s="544"/>
    </row>
    <row r="5" spans="1:6" s="1" customFormat="1" x14ac:dyDescent="0.25">
      <c r="A5" s="538" t="s">
        <v>1</v>
      </c>
      <c r="B5" s="538"/>
      <c r="C5" s="538"/>
      <c r="D5" s="538"/>
      <c r="E5" s="538"/>
      <c r="F5" s="538"/>
    </row>
    <row r="6" spans="1:6" s="1" customFormat="1" ht="16.5" thickBot="1" x14ac:dyDescent="0.3">
      <c r="A6" s="18" t="s">
        <v>87</v>
      </c>
      <c r="C6" s="358"/>
      <c r="D6" s="189"/>
      <c r="E6" s="356"/>
      <c r="F6" s="357"/>
    </row>
    <row r="7" spans="1:6" s="3" customFormat="1" ht="16.5" thickBot="1" x14ac:dyDescent="0.3">
      <c r="A7" s="5">
        <v>1</v>
      </c>
      <c r="B7" s="6">
        <v>2</v>
      </c>
      <c r="C7" s="359">
        <v>3</v>
      </c>
      <c r="D7" s="360">
        <v>4</v>
      </c>
      <c r="E7" s="383">
        <v>5</v>
      </c>
      <c r="F7" s="383">
        <v>6</v>
      </c>
    </row>
    <row r="8" spans="1:6" s="1" customFormat="1" ht="32.25" thickBot="1" x14ac:dyDescent="0.3">
      <c r="A8" s="7" t="s">
        <v>4</v>
      </c>
      <c r="B8" s="6" t="s">
        <v>2</v>
      </c>
      <c r="C8" s="361" t="s">
        <v>396</v>
      </c>
      <c r="D8" s="362" t="s">
        <v>397</v>
      </c>
      <c r="E8" s="344" t="s">
        <v>398</v>
      </c>
      <c r="F8" s="338" t="s">
        <v>399</v>
      </c>
    </row>
    <row r="9" spans="1:6" s="1" customFormat="1" ht="16.5" thickBot="1" x14ac:dyDescent="0.3">
      <c r="A9" s="14" t="s">
        <v>3</v>
      </c>
      <c r="B9" s="9" t="s">
        <v>16</v>
      </c>
      <c r="C9" s="363">
        <f>SUM(C10:C15)</f>
        <v>7170</v>
      </c>
      <c r="D9" s="363">
        <f>SUM(D10:D15)</f>
        <v>7170</v>
      </c>
      <c r="E9" s="364">
        <f>SUM(E10:E15)</f>
        <v>3674.44</v>
      </c>
      <c r="F9" s="385">
        <f>E9/D9</f>
        <v>0.51247419804741978</v>
      </c>
    </row>
    <row r="10" spans="1:6" x14ac:dyDescent="0.25">
      <c r="A10" s="15" t="s">
        <v>6</v>
      </c>
      <c r="B10" s="8" t="s">
        <v>30</v>
      </c>
      <c r="C10" s="365">
        <v>7170</v>
      </c>
      <c r="D10" s="365">
        <v>7170</v>
      </c>
      <c r="E10" s="366">
        <v>3674.44</v>
      </c>
      <c r="F10" s="384">
        <f>E10/D10</f>
        <v>0.51247419804741978</v>
      </c>
    </row>
    <row r="11" spans="1:6" x14ac:dyDescent="0.25">
      <c r="A11" s="16" t="s">
        <v>7</v>
      </c>
      <c r="B11" s="4" t="s">
        <v>31</v>
      </c>
      <c r="C11" s="367"/>
      <c r="D11" s="367"/>
      <c r="E11" s="366"/>
      <c r="F11" s="368"/>
    </row>
    <row r="12" spans="1:6" x14ac:dyDescent="0.25">
      <c r="A12" s="16" t="s">
        <v>8</v>
      </c>
      <c r="B12" s="4" t="s">
        <v>32</v>
      </c>
      <c r="C12" s="367"/>
      <c r="D12" s="367"/>
      <c r="E12" s="366"/>
      <c r="F12" s="368"/>
    </row>
    <row r="13" spans="1:6" x14ac:dyDescent="0.25">
      <c r="A13" s="16" t="s">
        <v>9</v>
      </c>
      <c r="B13" s="4" t="s">
        <v>33</v>
      </c>
      <c r="C13" s="367"/>
      <c r="D13" s="367"/>
      <c r="E13" s="366"/>
      <c r="F13" s="368"/>
    </row>
    <row r="14" spans="1:6" x14ac:dyDescent="0.25">
      <c r="A14" s="16" t="s">
        <v>10</v>
      </c>
      <c r="B14" s="4" t="s">
        <v>34</v>
      </c>
      <c r="C14" s="367"/>
      <c r="D14" s="367"/>
      <c r="E14" s="366"/>
      <c r="F14" s="368"/>
    </row>
    <row r="15" spans="1:6" ht="16.5" thickBot="1" x14ac:dyDescent="0.3">
      <c r="A15" s="17" t="s">
        <v>11</v>
      </c>
      <c r="B15" s="10" t="s">
        <v>35</v>
      </c>
      <c r="C15" s="369"/>
      <c r="D15" s="369"/>
      <c r="E15" s="366"/>
      <c r="F15" s="386"/>
    </row>
    <row r="16" spans="1:6" s="1" customFormat="1" ht="16.5" thickBot="1" x14ac:dyDescent="0.3">
      <c r="A16" s="14" t="s">
        <v>5</v>
      </c>
      <c r="B16" s="9" t="s">
        <v>39</v>
      </c>
      <c r="C16" s="363">
        <f>SUM(C17:C19)</f>
        <v>0</v>
      </c>
      <c r="D16" s="363">
        <f>SUM(D17:D19)</f>
        <v>0</v>
      </c>
      <c r="E16" s="364">
        <f>SUM(E17:E19)</f>
        <v>0</v>
      </c>
      <c r="F16" s="385"/>
    </row>
    <row r="17" spans="1:6" x14ac:dyDescent="0.25">
      <c r="A17" s="15" t="s">
        <v>12</v>
      </c>
      <c r="B17" s="8" t="s">
        <v>36</v>
      </c>
      <c r="C17" s="365"/>
      <c r="D17" s="365"/>
      <c r="E17" s="366"/>
      <c r="F17" s="384"/>
    </row>
    <row r="18" spans="1:6" x14ac:dyDescent="0.25">
      <c r="A18" s="16" t="s">
        <v>13</v>
      </c>
      <c r="B18" s="4" t="s">
        <v>37</v>
      </c>
      <c r="C18" s="367"/>
      <c r="D18" s="367"/>
      <c r="E18" s="366"/>
      <c r="F18" s="368"/>
    </row>
    <row r="19" spans="1:6" ht="16.5" thickBot="1" x14ac:dyDescent="0.3">
      <c r="A19" s="17" t="s">
        <v>14</v>
      </c>
      <c r="B19" s="10" t="s">
        <v>38</v>
      </c>
      <c r="C19" s="369"/>
      <c r="D19" s="369"/>
      <c r="E19" s="366"/>
      <c r="F19" s="386"/>
    </row>
    <row r="20" spans="1:6" s="1" customFormat="1" ht="16.5" thickBot="1" x14ac:dyDescent="0.3">
      <c r="A20" s="14" t="s">
        <v>15</v>
      </c>
      <c r="B20" s="9" t="s">
        <v>43</v>
      </c>
      <c r="C20" s="363">
        <f>SUM(C21:C22)</f>
        <v>0</v>
      </c>
      <c r="D20" s="363">
        <f>SUM(D21:D22)</f>
        <v>0</v>
      </c>
      <c r="E20" s="364">
        <f>SUM(E21:E22)</f>
        <v>0</v>
      </c>
      <c r="F20" s="385"/>
    </row>
    <row r="21" spans="1:6" x14ac:dyDescent="0.25">
      <c r="A21" s="15" t="s">
        <v>17</v>
      </c>
      <c r="B21" s="8" t="s">
        <v>40</v>
      </c>
      <c r="C21" s="365"/>
      <c r="D21" s="365"/>
      <c r="E21" s="366"/>
      <c r="F21" s="384"/>
    </row>
    <row r="22" spans="1:6" x14ac:dyDescent="0.25">
      <c r="A22" s="16" t="s">
        <v>18</v>
      </c>
      <c r="B22" s="4" t="s">
        <v>41</v>
      </c>
      <c r="C22" s="367"/>
      <c r="D22" s="367"/>
      <c r="E22" s="366"/>
      <c r="F22" s="368"/>
    </row>
    <row r="23" spans="1:6" ht="16.5" thickBot="1" x14ac:dyDescent="0.3">
      <c r="A23" s="17" t="s">
        <v>19</v>
      </c>
      <c r="B23" s="10" t="s">
        <v>42</v>
      </c>
      <c r="C23" s="369"/>
      <c r="D23" s="369"/>
      <c r="E23" s="366"/>
      <c r="F23" s="386"/>
    </row>
    <row r="24" spans="1:6" s="1" customFormat="1" ht="16.5" thickBot="1" x14ac:dyDescent="0.3">
      <c r="A24" s="14" t="s">
        <v>20</v>
      </c>
      <c r="B24" s="9" t="s">
        <v>21</v>
      </c>
      <c r="C24" s="363">
        <f>C25+C29+C30+C31</f>
        <v>0</v>
      </c>
      <c r="D24" s="363">
        <f>D25+D29+D30+D31</f>
        <v>0</v>
      </c>
      <c r="E24" s="364">
        <f>E25+E29+E30+E31</f>
        <v>0</v>
      </c>
      <c r="F24" s="385"/>
    </row>
    <row r="25" spans="1:6" x14ac:dyDescent="0.25">
      <c r="A25" s="15" t="s">
        <v>22</v>
      </c>
      <c r="B25" s="8" t="s">
        <v>44</v>
      </c>
      <c r="C25" s="365"/>
      <c r="D25" s="365"/>
      <c r="E25" s="366"/>
      <c r="F25" s="384"/>
    </row>
    <row r="26" spans="1:6" x14ac:dyDescent="0.25">
      <c r="A26" s="16" t="s">
        <v>23</v>
      </c>
      <c r="B26" s="4" t="s">
        <v>45</v>
      </c>
      <c r="C26" s="367"/>
      <c r="D26" s="367"/>
      <c r="E26" s="366"/>
      <c r="F26" s="368"/>
    </row>
    <row r="27" spans="1:6" x14ac:dyDescent="0.25">
      <c r="A27" s="16" t="s">
        <v>24</v>
      </c>
      <c r="B27" s="4" t="s">
        <v>46</v>
      </c>
      <c r="C27" s="367"/>
      <c r="D27" s="367"/>
      <c r="E27" s="366"/>
      <c r="F27" s="368"/>
    </row>
    <row r="28" spans="1:6" x14ac:dyDescent="0.25">
      <c r="A28" s="16" t="s">
        <v>25</v>
      </c>
      <c r="B28" s="4" t="s">
        <v>47</v>
      </c>
      <c r="C28" s="367"/>
      <c r="D28" s="367"/>
      <c r="E28" s="366"/>
      <c r="F28" s="368"/>
    </row>
    <row r="29" spans="1:6" x14ac:dyDescent="0.25">
      <c r="A29" s="16" t="s">
        <v>26</v>
      </c>
      <c r="B29" s="4" t="s">
        <v>48</v>
      </c>
      <c r="C29" s="367"/>
      <c r="D29" s="367"/>
      <c r="E29" s="366"/>
      <c r="F29" s="368"/>
    </row>
    <row r="30" spans="1:6" x14ac:dyDescent="0.25">
      <c r="A30" s="16" t="s">
        <v>27</v>
      </c>
      <c r="B30" s="4" t="s">
        <v>49</v>
      </c>
      <c r="C30" s="367"/>
      <c r="D30" s="367"/>
      <c r="E30" s="366"/>
      <c r="F30" s="368"/>
    </row>
    <row r="31" spans="1:6" ht="16.5" thickBot="1" x14ac:dyDescent="0.3">
      <c r="A31" s="17" t="s">
        <v>28</v>
      </c>
      <c r="B31" s="10" t="s">
        <v>50</v>
      </c>
      <c r="C31" s="369"/>
      <c r="D31" s="369"/>
      <c r="E31" s="366"/>
      <c r="F31" s="386"/>
    </row>
    <row r="32" spans="1:6" s="1" customFormat="1" ht="16.5" thickBot="1" x14ac:dyDescent="0.3">
      <c r="A32" s="14" t="s">
        <v>29</v>
      </c>
      <c r="B32" s="9" t="s">
        <v>51</v>
      </c>
      <c r="C32" s="363"/>
      <c r="D32" s="363"/>
      <c r="E32" s="364"/>
      <c r="F32" s="385"/>
    </row>
    <row r="33" spans="1:6" s="1" customFormat="1" ht="16.5" thickBot="1" x14ac:dyDescent="0.3">
      <c r="A33" s="19" t="s">
        <v>52</v>
      </c>
      <c r="B33" s="20" t="s">
        <v>53</v>
      </c>
      <c r="C33" s="370"/>
      <c r="D33" s="370"/>
      <c r="E33" s="371"/>
      <c r="F33" s="385"/>
    </row>
    <row r="34" spans="1:6" s="1" customFormat="1" ht="16.5" thickBot="1" x14ac:dyDescent="0.3">
      <c r="A34" s="14" t="s">
        <v>54</v>
      </c>
      <c r="B34" s="9" t="s">
        <v>55</v>
      </c>
      <c r="C34" s="363"/>
      <c r="D34" s="363"/>
      <c r="E34" s="364"/>
      <c r="F34" s="385"/>
    </row>
    <row r="35" spans="1:6" s="1" customFormat="1" ht="16.5" thickBot="1" x14ac:dyDescent="0.3">
      <c r="A35" s="14" t="s">
        <v>56</v>
      </c>
      <c r="B35" s="9" t="s">
        <v>57</v>
      </c>
      <c r="C35" s="363"/>
      <c r="D35" s="363"/>
      <c r="E35" s="364"/>
      <c r="F35" s="385"/>
    </row>
    <row r="36" spans="1:6" s="1" customFormat="1" ht="16.5" thickBot="1" x14ac:dyDescent="0.3">
      <c r="A36" s="14" t="s">
        <v>58</v>
      </c>
      <c r="B36" s="9" t="s">
        <v>137</v>
      </c>
      <c r="C36" s="363">
        <f>C9+C16+C20+C24+C32+C33+C34+C35</f>
        <v>7170</v>
      </c>
      <c r="D36" s="363">
        <f>D9+D16+D20+D24+D32+D33+D34+D35</f>
        <v>7170</v>
      </c>
      <c r="E36" s="364">
        <f>E9+E16+E20+E24+E32+E33+E34+E35</f>
        <v>3674.44</v>
      </c>
      <c r="F36" s="385">
        <f>E36/D36</f>
        <v>0.51247419804741978</v>
      </c>
    </row>
    <row r="37" spans="1:6" s="1" customFormat="1" ht="16.5" thickBot="1" x14ac:dyDescent="0.3">
      <c r="A37" s="14" t="s">
        <v>59</v>
      </c>
      <c r="B37" s="9" t="s">
        <v>60</v>
      </c>
      <c r="C37" s="363">
        <f>SUM(C38:C40)</f>
        <v>0</v>
      </c>
      <c r="D37" s="363">
        <f>SUM(D38:D40)</f>
        <v>0</v>
      </c>
      <c r="E37" s="364">
        <f>SUM(E38:E40)</f>
        <v>0</v>
      </c>
      <c r="F37" s="385"/>
    </row>
    <row r="38" spans="1:6" x14ac:dyDescent="0.25">
      <c r="A38" s="15" t="s">
        <v>61</v>
      </c>
      <c r="B38" s="8" t="s">
        <v>62</v>
      </c>
      <c r="C38" s="365"/>
      <c r="D38" s="365"/>
      <c r="E38" s="366"/>
      <c r="F38" s="384"/>
    </row>
    <row r="39" spans="1:6" x14ac:dyDescent="0.25">
      <c r="A39" s="16" t="s">
        <v>63</v>
      </c>
      <c r="B39" s="4" t="s">
        <v>64</v>
      </c>
      <c r="C39" s="367"/>
      <c r="D39" s="367"/>
      <c r="E39" s="366"/>
      <c r="F39" s="368"/>
    </row>
    <row r="40" spans="1:6" ht="16.5" thickBot="1" x14ac:dyDescent="0.3">
      <c r="A40" s="17" t="s">
        <v>65</v>
      </c>
      <c r="B40" s="10" t="s">
        <v>66</v>
      </c>
      <c r="C40" s="369"/>
      <c r="D40" s="369"/>
      <c r="E40" s="387"/>
      <c r="F40" s="386"/>
    </row>
    <row r="41" spans="1:6" s="1" customFormat="1" ht="16.5" thickBot="1" x14ac:dyDescent="0.3">
      <c r="A41" s="14" t="s">
        <v>67</v>
      </c>
      <c r="B41" s="9" t="s">
        <v>68</v>
      </c>
      <c r="C41" s="363"/>
      <c r="D41" s="363"/>
      <c r="E41" s="389"/>
      <c r="F41" s="385"/>
    </row>
    <row r="42" spans="1:6" s="1" customFormat="1" ht="16.5" thickBot="1" x14ac:dyDescent="0.3">
      <c r="A42" s="14" t="s">
        <v>69</v>
      </c>
      <c r="B42" s="9" t="s">
        <v>70</v>
      </c>
      <c r="C42" s="363"/>
      <c r="D42" s="363"/>
      <c r="E42" s="388"/>
      <c r="F42" s="390"/>
    </row>
    <row r="43" spans="1:6" s="1" customFormat="1" ht="16.5" thickBot="1" x14ac:dyDescent="0.3">
      <c r="A43" s="14" t="s">
        <v>71</v>
      </c>
      <c r="B43" s="9" t="s">
        <v>72</v>
      </c>
      <c r="C43" s="363">
        <f>C44+C45</f>
        <v>0</v>
      </c>
      <c r="D43" s="363">
        <f>D44+D45</f>
        <v>0</v>
      </c>
      <c r="E43" s="364">
        <f>E44+E45</f>
        <v>0</v>
      </c>
      <c r="F43" s="385"/>
    </row>
    <row r="44" spans="1:6" x14ac:dyDescent="0.25">
      <c r="A44" s="15" t="s">
        <v>73</v>
      </c>
      <c r="B44" s="8" t="s">
        <v>74</v>
      </c>
      <c r="C44" s="365"/>
      <c r="D44" s="365"/>
      <c r="E44" s="366"/>
      <c r="F44" s="384"/>
    </row>
    <row r="45" spans="1:6" ht="16.5" thickBot="1" x14ac:dyDescent="0.3">
      <c r="A45" s="17" t="s">
        <v>75</v>
      </c>
      <c r="B45" s="10" t="s">
        <v>76</v>
      </c>
      <c r="C45" s="369"/>
      <c r="D45" s="369"/>
      <c r="E45" s="387"/>
      <c r="F45" s="386"/>
    </row>
    <row r="46" spans="1:6" s="1" customFormat="1" ht="16.5" thickBot="1" x14ac:dyDescent="0.3">
      <c r="A46" s="14" t="s">
        <v>77</v>
      </c>
      <c r="B46" s="9" t="s">
        <v>78</v>
      </c>
      <c r="C46" s="363"/>
      <c r="D46" s="363"/>
      <c r="E46" s="389"/>
      <c r="F46" s="385"/>
    </row>
    <row r="47" spans="1:6" s="1" customFormat="1" ht="16.5" thickBot="1" x14ac:dyDescent="0.3">
      <c r="A47" s="14" t="s">
        <v>79</v>
      </c>
      <c r="B47" s="9" t="s">
        <v>80</v>
      </c>
      <c r="C47" s="363"/>
      <c r="D47" s="363"/>
      <c r="E47" s="389"/>
      <c r="F47" s="385"/>
    </row>
    <row r="48" spans="1:6" s="1" customFormat="1" ht="16.5" thickBot="1" x14ac:dyDescent="0.3">
      <c r="A48" s="14" t="s">
        <v>81</v>
      </c>
      <c r="B48" s="9" t="s">
        <v>82</v>
      </c>
      <c r="C48" s="363"/>
      <c r="D48" s="363"/>
      <c r="E48" s="389"/>
      <c r="F48" s="385"/>
    </row>
    <row r="49" spans="1:6" s="1" customFormat="1" ht="16.5" thickBot="1" x14ac:dyDescent="0.3">
      <c r="A49" s="14" t="s">
        <v>83</v>
      </c>
      <c r="B49" s="9" t="s">
        <v>84</v>
      </c>
      <c r="C49" s="363">
        <f>C37+C41+C42+C43+C46+C47+C48</f>
        <v>0</v>
      </c>
      <c r="D49" s="363">
        <f>D37+D41+D42+D43+D46+D47+D48</f>
        <v>0</v>
      </c>
      <c r="E49" s="364">
        <f>E37+E41+E42+E43+E46+E47+E48</f>
        <v>0</v>
      </c>
      <c r="F49" s="385"/>
    </row>
    <row r="50" spans="1:6" s="1" customFormat="1" ht="32.25" thickBot="1" x14ac:dyDescent="0.3">
      <c r="A50" s="14" t="s">
        <v>85</v>
      </c>
      <c r="B50" s="11" t="s">
        <v>86</v>
      </c>
      <c r="C50" s="363">
        <f>C36+C49</f>
        <v>7170</v>
      </c>
      <c r="D50" s="363">
        <f>D36+D49</f>
        <v>7170</v>
      </c>
      <c r="E50" s="364">
        <f>E36+E49</f>
        <v>3674.44</v>
      </c>
      <c r="F50" s="385">
        <f>E50/D50</f>
        <v>0.51247419804741978</v>
      </c>
    </row>
    <row r="52" spans="1:6" x14ac:dyDescent="0.25">
      <c r="A52" s="538" t="s">
        <v>88</v>
      </c>
      <c r="B52" s="538"/>
      <c r="C52" s="538"/>
    </row>
    <row r="53" spans="1:6" ht="16.5" thickBot="1" x14ac:dyDescent="0.3">
      <c r="A53" s="18" t="s">
        <v>89</v>
      </c>
      <c r="B53" s="1"/>
      <c r="C53" s="375"/>
    </row>
    <row r="54" spans="1:6" ht="32.25" thickBot="1" x14ac:dyDescent="0.3">
      <c r="A54" s="24" t="s">
        <v>4</v>
      </c>
      <c r="B54" s="9" t="s">
        <v>90</v>
      </c>
      <c r="C54" s="361" t="s">
        <v>396</v>
      </c>
      <c r="D54" s="362" t="s">
        <v>397</v>
      </c>
      <c r="E54" s="344" t="s">
        <v>398</v>
      </c>
      <c r="F54" s="338" t="s">
        <v>399</v>
      </c>
    </row>
    <row r="55" spans="1:6" ht="16.5" thickBot="1" x14ac:dyDescent="0.3">
      <c r="A55" s="14" t="s">
        <v>3</v>
      </c>
      <c r="B55" s="9" t="s">
        <v>108</v>
      </c>
      <c r="C55" s="363">
        <f>C56+C57+C58+C59+C60+C66</f>
        <v>7170</v>
      </c>
      <c r="D55" s="363">
        <f>D56+D57+D58+D59+D60+D66</f>
        <v>7170</v>
      </c>
      <c r="E55" s="364">
        <f>E56+E57+E58+E59+E60+E66</f>
        <v>3673.4399999999996</v>
      </c>
      <c r="F55" s="385">
        <f>E55/D55</f>
        <v>0.5123347280334728</v>
      </c>
    </row>
    <row r="56" spans="1:6" x14ac:dyDescent="0.25">
      <c r="A56" s="21" t="s">
        <v>6</v>
      </c>
      <c r="B56" s="8" t="s">
        <v>91</v>
      </c>
      <c r="C56" s="365">
        <v>6000</v>
      </c>
      <c r="D56" s="365">
        <v>6000</v>
      </c>
      <c r="E56" s="366">
        <v>3061.2</v>
      </c>
      <c r="F56" s="384">
        <f t="shared" ref="F56:F57" si="0">E56/D56</f>
        <v>0.51019999999999999</v>
      </c>
    </row>
    <row r="57" spans="1:6" x14ac:dyDescent="0.25">
      <c r="A57" s="22" t="s">
        <v>7</v>
      </c>
      <c r="B57" s="4" t="s">
        <v>92</v>
      </c>
      <c r="C57" s="367">
        <v>1170</v>
      </c>
      <c r="D57" s="367">
        <v>1170</v>
      </c>
      <c r="E57" s="366">
        <v>612.24</v>
      </c>
      <c r="F57" s="368">
        <f t="shared" si="0"/>
        <v>0.5232820512820513</v>
      </c>
    </row>
    <row r="58" spans="1:6" x14ac:dyDescent="0.25">
      <c r="A58" s="22" t="s">
        <v>8</v>
      </c>
      <c r="B58" s="4" t="s">
        <v>93</v>
      </c>
      <c r="C58" s="367"/>
      <c r="D58" s="367"/>
      <c r="E58" s="366"/>
      <c r="F58" s="368"/>
    </row>
    <row r="59" spans="1:6" x14ac:dyDescent="0.25">
      <c r="A59" s="22" t="s">
        <v>9</v>
      </c>
      <c r="B59" s="4" t="s">
        <v>94</v>
      </c>
      <c r="C59" s="367"/>
      <c r="D59" s="367"/>
      <c r="E59" s="366"/>
      <c r="F59" s="368"/>
    </row>
    <row r="60" spans="1:6" x14ac:dyDescent="0.25">
      <c r="A60" s="22" t="s">
        <v>10</v>
      </c>
      <c r="B60" s="4" t="s">
        <v>95</v>
      </c>
      <c r="C60" s="367"/>
      <c r="D60" s="367"/>
      <c r="E60" s="366"/>
      <c r="F60" s="368"/>
    </row>
    <row r="61" spans="1:6" x14ac:dyDescent="0.25">
      <c r="A61" s="22" t="s">
        <v>11</v>
      </c>
      <c r="B61" s="23" t="s">
        <v>96</v>
      </c>
      <c r="C61" s="367"/>
      <c r="D61" s="367"/>
      <c r="E61" s="366"/>
      <c r="F61" s="368"/>
    </row>
    <row r="62" spans="1:6" x14ac:dyDescent="0.25">
      <c r="A62" s="22" t="s">
        <v>97</v>
      </c>
      <c r="B62" s="4" t="s">
        <v>103</v>
      </c>
      <c r="C62" s="367"/>
      <c r="D62" s="367"/>
      <c r="E62" s="366"/>
      <c r="F62" s="368"/>
    </row>
    <row r="63" spans="1:6" x14ac:dyDescent="0.25">
      <c r="A63" s="22" t="s">
        <v>98</v>
      </c>
      <c r="B63" s="4" t="s">
        <v>138</v>
      </c>
      <c r="C63" s="367"/>
      <c r="D63" s="367"/>
      <c r="E63" s="366"/>
      <c r="F63" s="368"/>
    </row>
    <row r="64" spans="1:6" x14ac:dyDescent="0.25">
      <c r="A64" s="22" t="s">
        <v>99</v>
      </c>
      <c r="B64" s="4" t="s">
        <v>139</v>
      </c>
      <c r="C64" s="367"/>
      <c r="D64" s="367"/>
      <c r="E64" s="366"/>
      <c r="F64" s="368"/>
    </row>
    <row r="65" spans="1:6" x14ac:dyDescent="0.25">
      <c r="A65" s="22" t="s">
        <v>100</v>
      </c>
      <c r="B65" s="4" t="s">
        <v>140</v>
      </c>
      <c r="C65" s="367"/>
      <c r="D65" s="367"/>
      <c r="E65" s="366"/>
      <c r="F65" s="368"/>
    </row>
    <row r="66" spans="1:6" x14ac:dyDescent="0.25">
      <c r="A66" s="22" t="s">
        <v>101</v>
      </c>
      <c r="B66" s="4" t="s">
        <v>102</v>
      </c>
      <c r="C66" s="367"/>
      <c r="D66" s="367"/>
      <c r="E66" s="366"/>
      <c r="F66" s="368"/>
    </row>
    <row r="67" spans="1:6" x14ac:dyDescent="0.25">
      <c r="A67" s="22" t="s">
        <v>104</v>
      </c>
      <c r="B67" s="4" t="s">
        <v>105</v>
      </c>
      <c r="C67" s="367"/>
      <c r="D67" s="367"/>
      <c r="E67" s="366"/>
      <c r="F67" s="368"/>
    </row>
    <row r="68" spans="1:6" ht="16.5" thickBot="1" x14ac:dyDescent="0.3">
      <c r="A68" s="25" t="s">
        <v>106</v>
      </c>
      <c r="B68" s="10" t="s">
        <v>107</v>
      </c>
      <c r="C68" s="369"/>
      <c r="D68" s="369"/>
      <c r="E68" s="366"/>
      <c r="F68" s="386"/>
    </row>
    <row r="69" spans="1:6" ht="16.5" thickBot="1" x14ac:dyDescent="0.3">
      <c r="A69" s="14" t="s">
        <v>5</v>
      </c>
      <c r="B69" s="9" t="s">
        <v>121</v>
      </c>
      <c r="C69" s="363">
        <f>C70+C72+C74</f>
        <v>0</v>
      </c>
      <c r="D69" s="363">
        <f>D70+D72+D74</f>
        <v>0</v>
      </c>
      <c r="E69" s="363">
        <f>E70+E72+E74</f>
        <v>0</v>
      </c>
      <c r="F69" s="391"/>
    </row>
    <row r="70" spans="1:6" x14ac:dyDescent="0.25">
      <c r="A70" s="21" t="s">
        <v>12</v>
      </c>
      <c r="B70" s="8" t="s">
        <v>109</v>
      </c>
      <c r="C70" s="365"/>
      <c r="D70" s="365"/>
      <c r="E70" s="366"/>
      <c r="F70" s="384"/>
    </row>
    <row r="71" spans="1:6" x14ac:dyDescent="0.25">
      <c r="A71" s="22" t="s">
        <v>110</v>
      </c>
      <c r="B71" s="4" t="s">
        <v>111</v>
      </c>
      <c r="C71" s="367"/>
      <c r="D71" s="367"/>
      <c r="E71" s="366"/>
      <c r="F71" s="368"/>
    </row>
    <row r="72" spans="1:6" x14ac:dyDescent="0.25">
      <c r="A72" s="22" t="s">
        <v>14</v>
      </c>
      <c r="B72" s="4" t="s">
        <v>112</v>
      </c>
      <c r="C72" s="367"/>
      <c r="D72" s="367"/>
      <c r="E72" s="366"/>
      <c r="F72" s="368"/>
    </row>
    <row r="73" spans="1:6" x14ac:dyDescent="0.25">
      <c r="A73" s="22" t="s">
        <v>113</v>
      </c>
      <c r="B73" s="4" t="s">
        <v>114</v>
      </c>
      <c r="C73" s="367"/>
      <c r="D73" s="367"/>
      <c r="E73" s="366"/>
      <c r="F73" s="368"/>
    </row>
    <row r="74" spans="1:6" x14ac:dyDescent="0.25">
      <c r="A74" s="22" t="s">
        <v>115</v>
      </c>
      <c r="B74" s="4" t="s">
        <v>116</v>
      </c>
      <c r="C74" s="367"/>
      <c r="D74" s="367"/>
      <c r="E74" s="366"/>
      <c r="F74" s="368"/>
    </row>
    <row r="75" spans="1:6" x14ac:dyDescent="0.25">
      <c r="A75" s="22" t="s">
        <v>117</v>
      </c>
      <c r="B75" s="4" t="s">
        <v>118</v>
      </c>
      <c r="C75" s="367"/>
      <c r="D75" s="367"/>
      <c r="E75" s="366"/>
      <c r="F75" s="368"/>
    </row>
    <row r="76" spans="1:6" ht="16.5" thickBot="1" x14ac:dyDescent="0.3">
      <c r="A76" s="25" t="s">
        <v>119</v>
      </c>
      <c r="B76" s="10" t="s">
        <v>120</v>
      </c>
      <c r="C76" s="369"/>
      <c r="D76" s="369"/>
      <c r="E76" s="366"/>
      <c r="F76" s="386"/>
    </row>
    <row r="77" spans="1:6" ht="16.5" thickBot="1" x14ac:dyDescent="0.3">
      <c r="A77" s="14" t="s">
        <v>15</v>
      </c>
      <c r="B77" s="9" t="s">
        <v>122</v>
      </c>
      <c r="C77" s="363">
        <f>C55+C69</f>
        <v>7170</v>
      </c>
      <c r="D77" s="363">
        <f>D55+D69</f>
        <v>7170</v>
      </c>
      <c r="E77" s="363">
        <f>E55+E69</f>
        <v>3673.4399999999996</v>
      </c>
      <c r="F77" s="385">
        <f>E77/D77</f>
        <v>0.5123347280334728</v>
      </c>
    </row>
    <row r="78" spans="1:6" ht="16.5" thickBot="1" x14ac:dyDescent="0.3">
      <c r="A78" s="14" t="s">
        <v>20</v>
      </c>
      <c r="B78" s="9" t="s">
        <v>126</v>
      </c>
      <c r="C78" s="363">
        <f>SUM(C79:C81)</f>
        <v>0</v>
      </c>
      <c r="D78" s="363">
        <f>SUM(D79:D81)</f>
        <v>0</v>
      </c>
      <c r="E78" s="363">
        <f>SUM(E79:E81)</f>
        <v>0</v>
      </c>
      <c r="F78" s="391"/>
    </row>
    <row r="79" spans="1:6" x14ac:dyDescent="0.25">
      <c r="A79" s="21" t="s">
        <v>22</v>
      </c>
      <c r="B79" s="8" t="s">
        <v>123</v>
      </c>
      <c r="C79" s="365"/>
      <c r="D79" s="365"/>
      <c r="E79" s="366"/>
      <c r="F79" s="384"/>
    </row>
    <row r="80" spans="1:6" x14ac:dyDescent="0.25">
      <c r="A80" s="22" t="s">
        <v>26</v>
      </c>
      <c r="B80" s="4" t="s">
        <v>124</v>
      </c>
      <c r="C80" s="367"/>
      <c r="D80" s="367"/>
      <c r="E80" s="366"/>
      <c r="F80" s="368"/>
    </row>
    <row r="81" spans="1:6" ht="16.5" thickBot="1" x14ac:dyDescent="0.3">
      <c r="A81" s="25" t="s">
        <v>27</v>
      </c>
      <c r="B81" s="10" t="s">
        <v>125</v>
      </c>
      <c r="C81" s="369"/>
      <c r="D81" s="369"/>
      <c r="E81" s="387"/>
      <c r="F81" s="386"/>
    </row>
    <row r="82" spans="1:6" ht="16.5" thickBot="1" x14ac:dyDescent="0.3">
      <c r="A82" s="28" t="s">
        <v>29</v>
      </c>
      <c r="B82" s="29" t="s">
        <v>127</v>
      </c>
      <c r="C82" s="376"/>
      <c r="D82" s="376"/>
      <c r="E82" s="392"/>
      <c r="F82" s="391"/>
    </row>
    <row r="83" spans="1:6" ht="16.5" thickBot="1" x14ac:dyDescent="0.3">
      <c r="A83" s="14" t="s">
        <v>52</v>
      </c>
      <c r="B83" s="9" t="s">
        <v>130</v>
      </c>
      <c r="C83" s="363">
        <f>C84</f>
        <v>0</v>
      </c>
      <c r="D83" s="363">
        <f>D84</f>
        <v>0</v>
      </c>
      <c r="E83" s="363">
        <f>E84</f>
        <v>0</v>
      </c>
      <c r="F83" s="391"/>
    </row>
    <row r="84" spans="1:6" ht="16.5" thickBot="1" x14ac:dyDescent="0.3">
      <c r="A84" s="26" t="s">
        <v>128</v>
      </c>
      <c r="B84" s="27" t="s">
        <v>129</v>
      </c>
      <c r="C84" s="377"/>
      <c r="D84" s="377"/>
      <c r="E84" s="387"/>
      <c r="F84" s="393"/>
    </row>
    <row r="85" spans="1:6" ht="16.5" thickBot="1" x14ac:dyDescent="0.3">
      <c r="A85" s="14" t="s">
        <v>54</v>
      </c>
      <c r="B85" s="9" t="s">
        <v>131</v>
      </c>
      <c r="C85" s="363"/>
      <c r="D85" s="363"/>
      <c r="E85" s="392"/>
      <c r="F85" s="391"/>
    </row>
    <row r="86" spans="1:6" ht="16.5" thickBot="1" x14ac:dyDescent="0.3">
      <c r="A86" s="14" t="s">
        <v>56</v>
      </c>
      <c r="B86" s="9" t="s">
        <v>132</v>
      </c>
      <c r="C86" s="363"/>
      <c r="D86" s="363"/>
      <c r="E86" s="392"/>
      <c r="F86" s="391"/>
    </row>
    <row r="87" spans="1:6" ht="16.5" thickBot="1" x14ac:dyDescent="0.3">
      <c r="A87" s="14" t="s">
        <v>133</v>
      </c>
      <c r="B87" s="9" t="s">
        <v>134</v>
      </c>
      <c r="C87" s="363"/>
      <c r="D87" s="363"/>
      <c r="E87" s="392"/>
      <c r="F87" s="391"/>
    </row>
    <row r="88" spans="1:6" ht="16.5" thickBot="1" x14ac:dyDescent="0.3">
      <c r="A88" s="14" t="s">
        <v>59</v>
      </c>
      <c r="B88" s="9" t="s">
        <v>135</v>
      </c>
      <c r="C88" s="363">
        <f>C78+C82+C83+C85+C86+C87</f>
        <v>0</v>
      </c>
      <c r="D88" s="363">
        <f>D78+D82+D83+D85+D86+D87</f>
        <v>0</v>
      </c>
      <c r="E88" s="363">
        <f>E78+E82+E83+E85+E86+E87</f>
        <v>0</v>
      </c>
      <c r="F88" s="391"/>
    </row>
    <row r="89" spans="1:6" ht="16.5" thickBot="1" x14ac:dyDescent="0.3">
      <c r="A89" s="14" t="s">
        <v>67</v>
      </c>
      <c r="B89" s="9" t="s">
        <v>136</v>
      </c>
      <c r="C89" s="363">
        <f>C77+C88</f>
        <v>7170</v>
      </c>
      <c r="D89" s="363">
        <f>D77+D88</f>
        <v>7170</v>
      </c>
      <c r="E89" s="363">
        <f>E77+E88</f>
        <v>3673.4399999999996</v>
      </c>
      <c r="F89" s="385">
        <f>E89/D89</f>
        <v>0.5123347280334728</v>
      </c>
    </row>
    <row r="91" spans="1:6" s="30" customFormat="1" ht="29.25" customHeight="1" x14ac:dyDescent="0.25">
      <c r="A91" s="543" t="s">
        <v>141</v>
      </c>
      <c r="B91" s="543"/>
      <c r="C91" s="543"/>
      <c r="D91" s="378"/>
      <c r="E91" s="379"/>
      <c r="F91" s="380"/>
    </row>
    <row r="92" spans="1:6" ht="16.5" thickBot="1" x14ac:dyDescent="0.3">
      <c r="A92" s="18" t="s">
        <v>142</v>
      </c>
      <c r="B92" s="1"/>
      <c r="C92" s="358"/>
    </row>
    <row r="93" spans="1:6" ht="32.25" thickBot="1" x14ac:dyDescent="0.3">
      <c r="A93" s="14" t="s">
        <v>3</v>
      </c>
      <c r="B93" s="11" t="s">
        <v>143</v>
      </c>
      <c r="C93" s="363">
        <f>C36-C77</f>
        <v>0</v>
      </c>
      <c r="D93" s="381">
        <f>D36-D77</f>
        <v>0</v>
      </c>
      <c r="E93" s="395">
        <f>E36-E77</f>
        <v>1.0000000000004547</v>
      </c>
      <c r="F93" s="394"/>
    </row>
    <row r="94" spans="1:6" ht="32.25" thickBot="1" x14ac:dyDescent="0.3">
      <c r="A94" s="14" t="s">
        <v>5</v>
      </c>
      <c r="B94" s="11" t="s">
        <v>144</v>
      </c>
      <c r="C94" s="363">
        <f>C49-C88</f>
        <v>0</v>
      </c>
      <c r="D94" s="381">
        <f>D49-D88</f>
        <v>0</v>
      </c>
      <c r="E94" s="395">
        <f>E49-E88</f>
        <v>0</v>
      </c>
      <c r="F94" s="394"/>
    </row>
  </sheetData>
  <mergeCells count="7">
    <mergeCell ref="A91:C91"/>
    <mergeCell ref="A52:C52"/>
    <mergeCell ref="A2:D2"/>
    <mergeCell ref="A1:F1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H30" sqref="H30"/>
    </sheetView>
  </sheetViews>
  <sheetFormatPr defaultRowHeight="15.75" x14ac:dyDescent="0.25"/>
  <cols>
    <col min="1" max="1" width="5.7109375" style="13" customWidth="1"/>
    <col min="2" max="2" width="57.5703125" style="2" bestFit="1" customWidth="1"/>
    <col min="3" max="6" width="14.7109375" style="126" customWidth="1"/>
    <col min="7" max="7" width="53.85546875" style="2" bestFit="1" customWidth="1"/>
    <col min="8" max="8" width="14.7109375" style="126" customWidth="1"/>
    <col min="9" max="9" width="14.5703125" style="2" customWidth="1"/>
    <col min="10" max="10" width="12.42578125" style="164" bestFit="1" customWidth="1"/>
    <col min="11" max="11" width="9.5703125" style="2" bestFit="1" customWidth="1"/>
    <col min="12" max="16384" width="9.140625" style="2"/>
  </cols>
  <sheetData>
    <row r="1" spans="1:11" x14ac:dyDescent="0.25">
      <c r="B1" s="545" t="s">
        <v>406</v>
      </c>
      <c r="C1" s="545"/>
      <c r="D1" s="545"/>
      <c r="E1" s="545"/>
      <c r="F1" s="545"/>
      <c r="G1" s="545"/>
      <c r="H1" s="545"/>
      <c r="I1" s="545"/>
    </row>
    <row r="2" spans="1:11" ht="54.75" customHeight="1" x14ac:dyDescent="0.25">
      <c r="A2" s="546" t="s">
        <v>145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</row>
    <row r="3" spans="1:11" x14ac:dyDescent="0.25">
      <c r="A3" s="546" t="s">
        <v>380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</row>
    <row r="4" spans="1:11" x14ac:dyDescent="0.25">
      <c r="A4" s="547" t="s">
        <v>146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</row>
    <row r="5" spans="1:11" ht="16.5" thickBot="1" x14ac:dyDescent="0.3">
      <c r="A5" s="545" t="s">
        <v>347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</row>
    <row r="6" spans="1:11" s="30" customFormat="1" ht="32.25" thickBot="1" x14ac:dyDescent="0.3">
      <c r="A6" s="39" t="s">
        <v>4</v>
      </c>
      <c r="B6" s="6" t="s">
        <v>147</v>
      </c>
      <c r="C6" s="207" t="s">
        <v>396</v>
      </c>
      <c r="D6" s="208" t="s">
        <v>397</v>
      </c>
      <c r="E6" s="100" t="s">
        <v>407</v>
      </c>
      <c r="F6" s="256" t="s">
        <v>399</v>
      </c>
      <c r="G6" s="6" t="s">
        <v>148</v>
      </c>
      <c r="H6" s="207" t="s">
        <v>396</v>
      </c>
      <c r="I6" s="253" t="s">
        <v>397</v>
      </c>
      <c r="J6" s="344" t="s">
        <v>407</v>
      </c>
      <c r="K6" s="491" t="s">
        <v>399</v>
      </c>
    </row>
    <row r="7" spans="1:11" s="13" customFormat="1" ht="16.5" thickBot="1" x14ac:dyDescent="0.3">
      <c r="A7" s="33" t="s">
        <v>149</v>
      </c>
      <c r="B7" s="34" t="s">
        <v>172</v>
      </c>
      <c r="C7" s="127" t="s">
        <v>150</v>
      </c>
      <c r="D7" s="127" t="s">
        <v>151</v>
      </c>
      <c r="E7" s="127" t="s">
        <v>152</v>
      </c>
      <c r="F7" s="127" t="s">
        <v>190</v>
      </c>
      <c r="G7" s="34" t="s">
        <v>198</v>
      </c>
      <c r="H7" s="210" t="s">
        <v>199</v>
      </c>
      <c r="I7" s="265" t="s">
        <v>200</v>
      </c>
      <c r="J7" s="492" t="s">
        <v>201</v>
      </c>
      <c r="K7" s="493" t="s">
        <v>273</v>
      </c>
    </row>
    <row r="8" spans="1:11" x14ac:dyDescent="0.25">
      <c r="A8" s="32" t="s">
        <v>3</v>
      </c>
      <c r="B8" s="8" t="s">
        <v>153</v>
      </c>
      <c r="C8" s="161">
        <v>299157.57900000003</v>
      </c>
      <c r="D8" s="161">
        <v>314796.821</v>
      </c>
      <c r="E8" s="161">
        <v>162766.019</v>
      </c>
      <c r="F8" s="339">
        <f>E8/D8</f>
        <v>0.51705102511184509</v>
      </c>
      <c r="G8" s="8" t="s">
        <v>91</v>
      </c>
      <c r="H8" s="201">
        <v>351579</v>
      </c>
      <c r="I8" s="201">
        <v>383433.08199999999</v>
      </c>
      <c r="J8" s="161">
        <v>165847.99100000001</v>
      </c>
      <c r="K8" s="339">
        <f>J8/I8</f>
        <v>0.43253438157952162</v>
      </c>
    </row>
    <row r="9" spans="1:11" x14ac:dyDescent="0.25">
      <c r="A9" s="31" t="s">
        <v>5</v>
      </c>
      <c r="B9" s="4" t="s">
        <v>154</v>
      </c>
      <c r="C9" s="162">
        <v>148870</v>
      </c>
      <c r="D9" s="162">
        <v>174769.899</v>
      </c>
      <c r="E9" s="162">
        <v>95058.331000000006</v>
      </c>
      <c r="F9" s="339">
        <f t="shared" ref="F9:F12" si="0">E9/D9</f>
        <v>0.5439056241601421</v>
      </c>
      <c r="G9" s="4" t="s">
        <v>155</v>
      </c>
      <c r="H9" s="202">
        <v>62543.8</v>
      </c>
      <c r="I9" s="202">
        <v>68752.668999999994</v>
      </c>
      <c r="J9" s="162">
        <v>28560.697</v>
      </c>
      <c r="K9" s="339">
        <f t="shared" ref="K9:K13" si="1">J9/I9</f>
        <v>0.41541219294337506</v>
      </c>
    </row>
    <row r="10" spans="1:11" x14ac:dyDescent="0.25">
      <c r="A10" s="31" t="s">
        <v>15</v>
      </c>
      <c r="B10" s="4" t="s">
        <v>157</v>
      </c>
      <c r="C10" s="162">
        <v>42772</v>
      </c>
      <c r="D10" s="162">
        <v>67518.5</v>
      </c>
      <c r="E10" s="162">
        <v>23476.5</v>
      </c>
      <c r="F10" s="339">
        <f t="shared" si="0"/>
        <v>0.34770470315543145</v>
      </c>
      <c r="G10" s="4" t="s">
        <v>158</v>
      </c>
      <c r="H10" s="202">
        <v>257135.7</v>
      </c>
      <c r="I10" s="202">
        <v>262179.38799999998</v>
      </c>
      <c r="J10" s="162">
        <v>87942.865999999995</v>
      </c>
      <c r="K10" s="339">
        <f t="shared" si="1"/>
        <v>0.33543012923655158</v>
      </c>
    </row>
    <row r="11" spans="1:11" x14ac:dyDescent="0.25">
      <c r="A11" s="31" t="s">
        <v>20</v>
      </c>
      <c r="B11" s="4" t="s">
        <v>159</v>
      </c>
      <c r="C11" s="162">
        <v>102821</v>
      </c>
      <c r="D11" s="162">
        <v>102821</v>
      </c>
      <c r="E11" s="162">
        <v>51277.286999999997</v>
      </c>
      <c r="F11" s="339">
        <f t="shared" si="0"/>
        <v>0.49870441835811746</v>
      </c>
      <c r="G11" s="4" t="s">
        <v>275</v>
      </c>
      <c r="H11" s="202">
        <v>5400</v>
      </c>
      <c r="I11" s="202">
        <v>6107.78</v>
      </c>
      <c r="J11" s="162">
        <v>1546.21</v>
      </c>
      <c r="K11" s="339">
        <f t="shared" si="1"/>
        <v>0.25315417385694966</v>
      </c>
    </row>
    <row r="12" spans="1:11" x14ac:dyDescent="0.25">
      <c r="A12" s="31" t="s">
        <v>29</v>
      </c>
      <c r="B12" s="4" t="s">
        <v>160</v>
      </c>
      <c r="C12" s="162">
        <v>61573.3</v>
      </c>
      <c r="D12" s="162">
        <v>61573.3</v>
      </c>
      <c r="E12" s="162">
        <v>32410.401999999998</v>
      </c>
      <c r="F12" s="339">
        <f t="shared" si="0"/>
        <v>0.52637104069458673</v>
      </c>
      <c r="G12" s="4" t="s">
        <v>95</v>
      </c>
      <c r="H12" s="202">
        <v>34490.1</v>
      </c>
      <c r="I12" s="202">
        <v>37210.1</v>
      </c>
      <c r="J12" s="162">
        <f>14287.283+4192.364</f>
        <v>18479.646999999997</v>
      </c>
      <c r="K12" s="339">
        <f t="shared" si="1"/>
        <v>0.49662986662223424</v>
      </c>
    </row>
    <row r="13" spans="1:11" x14ac:dyDescent="0.25">
      <c r="A13" s="31" t="s">
        <v>52</v>
      </c>
      <c r="B13" s="4" t="s">
        <v>161</v>
      </c>
      <c r="C13" s="162">
        <v>210</v>
      </c>
      <c r="D13" s="162">
        <v>210</v>
      </c>
      <c r="E13" s="162"/>
      <c r="F13" s="332"/>
      <c r="G13" s="4" t="s">
        <v>102</v>
      </c>
      <c r="H13" s="202">
        <v>22277.298999999999</v>
      </c>
      <c r="I13" s="202">
        <v>18618.342000000001</v>
      </c>
      <c r="J13" s="162"/>
      <c r="K13" s="339">
        <f t="shared" si="1"/>
        <v>0</v>
      </c>
    </row>
    <row r="14" spans="1:11" ht="16.5" thickBot="1" x14ac:dyDescent="0.3">
      <c r="A14" s="35" t="s">
        <v>54</v>
      </c>
      <c r="B14" s="10" t="s">
        <v>162</v>
      </c>
      <c r="C14" s="163"/>
      <c r="D14" s="163"/>
      <c r="E14" s="163"/>
      <c r="F14" s="342"/>
      <c r="G14" s="10"/>
      <c r="H14" s="203"/>
      <c r="I14" s="202"/>
      <c r="J14" s="162"/>
      <c r="K14" s="342"/>
    </row>
    <row r="15" spans="1:11" ht="16.5" thickBot="1" x14ac:dyDescent="0.3">
      <c r="A15" s="33" t="s">
        <v>56</v>
      </c>
      <c r="B15" s="9" t="s">
        <v>163</v>
      </c>
      <c r="C15" s="165">
        <f>C8+C9+C11+C12+C13</f>
        <v>612631.87900000007</v>
      </c>
      <c r="D15" s="165">
        <f>D8+D9+D11+D12+D13</f>
        <v>654171.02</v>
      </c>
      <c r="E15" s="165">
        <f>E8+E9+E11+E12+E13</f>
        <v>341512.03899999999</v>
      </c>
      <c r="F15" s="519">
        <f>E15/D15</f>
        <v>0.52205314598008323</v>
      </c>
      <c r="G15" s="9" t="s">
        <v>164</v>
      </c>
      <c r="H15" s="200">
        <f>SUM(H8:H14)</f>
        <v>733425.89899999998</v>
      </c>
      <c r="I15" s="209">
        <f>SUM(I8:I14)</f>
        <v>776301.36099999992</v>
      </c>
      <c r="J15" s="209">
        <f>SUM(J8:J14)</f>
        <v>302377.41100000002</v>
      </c>
      <c r="K15" s="340">
        <f>J15/I15</f>
        <v>0.38951034506817006</v>
      </c>
    </row>
    <row r="16" spans="1:11" x14ac:dyDescent="0.25">
      <c r="A16" s="187" t="s">
        <v>58</v>
      </c>
      <c r="B16" s="122" t="s">
        <v>167</v>
      </c>
      <c r="C16" s="188">
        <f>C17</f>
        <v>131721.753</v>
      </c>
      <c r="D16" s="188">
        <f>D17</f>
        <v>133058.07399999999</v>
      </c>
      <c r="E16" s="188">
        <f>E17</f>
        <v>133058.07399999999</v>
      </c>
      <c r="F16" s="337">
        <f>E16/D16</f>
        <v>1</v>
      </c>
      <c r="G16" s="8" t="s">
        <v>171</v>
      </c>
      <c r="H16" s="201"/>
      <c r="I16" s="202"/>
      <c r="J16" s="162"/>
      <c r="K16" s="339"/>
    </row>
    <row r="17" spans="1:11" x14ac:dyDescent="0.25">
      <c r="A17" s="31" t="s">
        <v>59</v>
      </c>
      <c r="B17" s="4" t="s">
        <v>165</v>
      </c>
      <c r="C17" s="162">
        <v>131721.753</v>
      </c>
      <c r="D17" s="162">
        <v>133058.07399999999</v>
      </c>
      <c r="E17" s="162">
        <v>133058.07399999999</v>
      </c>
      <c r="F17" s="332">
        <f>E17/D17</f>
        <v>1</v>
      </c>
      <c r="G17" s="4" t="s">
        <v>129</v>
      </c>
      <c r="H17" s="202">
        <v>10927.733</v>
      </c>
      <c r="I17" s="202">
        <v>10927.733</v>
      </c>
      <c r="J17" s="162">
        <v>10927.733</v>
      </c>
      <c r="K17" s="332">
        <f>J17/I17</f>
        <v>1</v>
      </c>
    </row>
    <row r="18" spans="1:11" x14ac:dyDescent="0.25">
      <c r="A18" s="31" t="s">
        <v>67</v>
      </c>
      <c r="B18" s="4" t="s">
        <v>168</v>
      </c>
      <c r="C18" s="162"/>
      <c r="D18" s="162"/>
      <c r="E18" s="162"/>
      <c r="F18" s="332"/>
      <c r="G18" s="4"/>
      <c r="H18" s="202"/>
      <c r="I18" s="202"/>
      <c r="J18" s="162"/>
      <c r="K18" s="332"/>
    </row>
    <row r="19" spans="1:11" ht="16.5" thickBot="1" x14ac:dyDescent="0.3">
      <c r="A19" s="35" t="s">
        <v>69</v>
      </c>
      <c r="B19" s="10" t="s">
        <v>166</v>
      </c>
      <c r="C19" s="163"/>
      <c r="D19" s="163"/>
      <c r="E19" s="163"/>
      <c r="F19" s="342"/>
      <c r="G19" s="10"/>
      <c r="H19" s="203"/>
      <c r="I19" s="202"/>
      <c r="J19" s="162"/>
      <c r="K19" s="342"/>
    </row>
    <row r="20" spans="1:11" ht="16.5" thickBot="1" x14ac:dyDescent="0.3">
      <c r="A20" s="33" t="s">
        <v>71</v>
      </c>
      <c r="B20" s="9" t="s">
        <v>169</v>
      </c>
      <c r="C20" s="165">
        <f>C16+C18</f>
        <v>131721.753</v>
      </c>
      <c r="D20" s="165">
        <f>D16+D18</f>
        <v>133058.07399999999</v>
      </c>
      <c r="E20" s="165">
        <f>E16+E18</f>
        <v>133058.07399999999</v>
      </c>
      <c r="F20" s="519">
        <f>E20/D20</f>
        <v>1</v>
      </c>
      <c r="G20" s="9" t="s">
        <v>323</v>
      </c>
      <c r="H20" s="200">
        <f>SUM(H16:H19)</f>
        <v>10927.733</v>
      </c>
      <c r="I20" s="209">
        <f>SUM(I16:I19)</f>
        <v>10927.733</v>
      </c>
      <c r="J20" s="209">
        <f>SUM(J16:J19)</f>
        <v>10927.733</v>
      </c>
      <c r="K20" s="340">
        <f>J20/I20</f>
        <v>1</v>
      </c>
    </row>
    <row r="21" spans="1:11" ht="16.5" thickBot="1" x14ac:dyDescent="0.3">
      <c r="A21" s="36" t="s">
        <v>77</v>
      </c>
      <c r="B21" s="37" t="s">
        <v>170</v>
      </c>
      <c r="C21" s="165">
        <f>C15+C20</f>
        <v>744353.6320000001</v>
      </c>
      <c r="D21" s="165">
        <f>D15+D20</f>
        <v>787229.09400000004</v>
      </c>
      <c r="E21" s="165">
        <f>E15+E20</f>
        <v>474570.11300000001</v>
      </c>
      <c r="F21" s="519">
        <f>E21/D21</f>
        <v>0.60283609513039671</v>
      </c>
      <c r="G21" s="9" t="s">
        <v>173</v>
      </c>
      <c r="H21" s="200">
        <f>H15+H20</f>
        <v>744353.63199999998</v>
      </c>
      <c r="I21" s="209">
        <f>I15+I20</f>
        <v>787229.09399999992</v>
      </c>
      <c r="J21" s="209">
        <f>J15+J20</f>
        <v>313305.14400000003</v>
      </c>
      <c r="K21" s="340">
        <f>J21/I21</f>
        <v>0.39798471167784361</v>
      </c>
    </row>
    <row r="22" spans="1:11" ht="16.5" thickBot="1" x14ac:dyDescent="0.3">
      <c r="A22" s="38" t="s">
        <v>79</v>
      </c>
      <c r="B22" s="37" t="s">
        <v>175</v>
      </c>
      <c r="C22" s="165">
        <f>H15-C15</f>
        <v>120794.0199999999</v>
      </c>
      <c r="D22" s="165">
        <f>I15-D15</f>
        <v>122130.3409999999</v>
      </c>
      <c r="E22" s="165"/>
      <c r="F22" s="519"/>
      <c r="G22" s="9" t="s">
        <v>174</v>
      </c>
      <c r="H22" s="200">
        <v>0</v>
      </c>
      <c r="I22" s="209">
        <v>0</v>
      </c>
      <c r="J22" s="209">
        <f>E15-J15</f>
        <v>39134.627999999968</v>
      </c>
      <c r="K22" s="350"/>
    </row>
    <row r="23" spans="1:11" ht="16.5" thickBot="1" x14ac:dyDescent="0.3">
      <c r="A23" s="38" t="s">
        <v>156</v>
      </c>
      <c r="B23" s="37" t="s">
        <v>176</v>
      </c>
      <c r="C23" s="165">
        <f>C21-H21</f>
        <v>0</v>
      </c>
      <c r="D23" s="165">
        <f>D21-I21</f>
        <v>0</v>
      </c>
      <c r="E23" s="165"/>
      <c r="F23" s="519"/>
      <c r="G23" s="9" t="s">
        <v>177</v>
      </c>
      <c r="H23" s="200">
        <v>0</v>
      </c>
      <c r="I23" s="209">
        <v>0</v>
      </c>
      <c r="J23" s="209">
        <f>E21-J21</f>
        <v>161264.96899999998</v>
      </c>
      <c r="K23" s="350"/>
    </row>
  </sheetData>
  <mergeCells count="5">
    <mergeCell ref="B1:I1"/>
    <mergeCell ref="A3:K3"/>
    <mergeCell ref="A2:K2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workbookViewId="0">
      <selection activeCell="E16" activeCellId="1" sqref="E15 E16"/>
    </sheetView>
  </sheetViews>
  <sheetFormatPr defaultRowHeight="15" x14ac:dyDescent="0.25"/>
  <cols>
    <col min="1" max="1" width="5.7109375" style="462" customWidth="1"/>
    <col min="2" max="2" width="60.28515625" style="372" bestFit="1" customWidth="1"/>
    <col min="3" max="5" width="14.7109375" style="483" customWidth="1"/>
    <col min="6" max="6" width="9.42578125" style="483" bestFit="1" customWidth="1"/>
    <col min="7" max="7" width="62.5703125" style="372" bestFit="1" customWidth="1"/>
    <col min="8" max="8" width="14.7109375" style="483" customWidth="1"/>
    <col min="9" max="9" width="12.5703125" style="372" customWidth="1"/>
    <col min="10" max="10" width="12.42578125" style="382" bestFit="1" customWidth="1"/>
    <col min="11" max="16384" width="9.140625" style="372"/>
  </cols>
  <sheetData>
    <row r="1" spans="1:11" x14ac:dyDescent="0.25">
      <c r="B1" s="549" t="s">
        <v>408</v>
      </c>
      <c r="C1" s="549"/>
      <c r="D1" s="549"/>
      <c r="E1" s="549"/>
      <c r="F1" s="549"/>
      <c r="G1" s="549"/>
      <c r="H1" s="549"/>
      <c r="I1" s="549"/>
      <c r="J1" s="549"/>
      <c r="K1" s="549"/>
    </row>
    <row r="2" spans="1:11" ht="60" customHeight="1" x14ac:dyDescent="0.25">
      <c r="A2" s="548" t="s">
        <v>178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x14ac:dyDescent="0.25">
      <c r="A3" s="548" t="s">
        <v>380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spans="1:11" x14ac:dyDescent="0.25">
      <c r="A4" s="550" t="s">
        <v>146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</row>
    <row r="5" spans="1:11" ht="15.75" thickBot="1" x14ac:dyDescent="0.3">
      <c r="A5" s="551" t="s">
        <v>347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</row>
    <row r="6" spans="1:11" s="378" customFormat="1" ht="29.25" thickBot="1" x14ac:dyDescent="0.3">
      <c r="A6" s="463" t="s">
        <v>4</v>
      </c>
      <c r="B6" s="408" t="s">
        <v>147</v>
      </c>
      <c r="C6" s="361" t="s">
        <v>396</v>
      </c>
      <c r="D6" s="464" t="s">
        <v>397</v>
      </c>
      <c r="E6" s="100" t="s">
        <v>407</v>
      </c>
      <c r="F6" s="256" t="s">
        <v>399</v>
      </c>
      <c r="G6" s="408" t="s">
        <v>148</v>
      </c>
      <c r="H6" s="361" t="s">
        <v>396</v>
      </c>
      <c r="I6" s="362" t="s">
        <v>397</v>
      </c>
      <c r="J6" s="351" t="s">
        <v>407</v>
      </c>
      <c r="K6" s="256" t="s">
        <v>399</v>
      </c>
    </row>
    <row r="7" spans="1:11" s="462" customFormat="1" ht="15.75" thickBot="1" x14ac:dyDescent="0.3">
      <c r="A7" s="465" t="s">
        <v>149</v>
      </c>
      <c r="B7" s="466" t="s">
        <v>172</v>
      </c>
      <c r="C7" s="467" t="s">
        <v>150</v>
      </c>
      <c r="D7" s="467" t="s">
        <v>151</v>
      </c>
      <c r="E7" s="467" t="s">
        <v>152</v>
      </c>
      <c r="F7" s="467" t="s">
        <v>190</v>
      </c>
      <c r="G7" s="466" t="s">
        <v>198</v>
      </c>
      <c r="H7" s="468" t="s">
        <v>199</v>
      </c>
      <c r="I7" s="469" t="s">
        <v>200</v>
      </c>
      <c r="J7" s="470" t="s">
        <v>201</v>
      </c>
      <c r="K7" s="471" t="s">
        <v>273</v>
      </c>
    </row>
    <row r="8" spans="1:11" x14ac:dyDescent="0.25">
      <c r="A8" s="472" t="s">
        <v>3</v>
      </c>
      <c r="B8" s="417" t="s">
        <v>179</v>
      </c>
      <c r="C8" s="436">
        <v>307909</v>
      </c>
      <c r="D8" s="436">
        <v>298129.05499999999</v>
      </c>
      <c r="E8" s="436">
        <v>1270</v>
      </c>
      <c r="F8" s="384">
        <f>E8/D8</f>
        <v>4.2599001294925786E-3</v>
      </c>
      <c r="G8" s="417" t="s">
        <v>109</v>
      </c>
      <c r="H8" s="365">
        <v>622689</v>
      </c>
      <c r="I8" s="367">
        <v>613471.66599999997</v>
      </c>
      <c r="J8" s="419">
        <v>3329.6419999999998</v>
      </c>
      <c r="K8" s="368">
        <f>J8/I8</f>
        <v>5.4275399900865183E-3</v>
      </c>
    </row>
    <row r="9" spans="1:11" x14ac:dyDescent="0.25">
      <c r="A9" s="473" t="s">
        <v>5</v>
      </c>
      <c r="B9" s="421" t="s">
        <v>180</v>
      </c>
      <c r="C9" s="419">
        <v>307909</v>
      </c>
      <c r="D9" s="419">
        <v>298129.05499999999</v>
      </c>
      <c r="E9" s="419">
        <v>1270</v>
      </c>
      <c r="F9" s="384">
        <f t="shared" ref="F9:F21" si="0">E9/D9</f>
        <v>4.2599001294925786E-3</v>
      </c>
      <c r="G9" s="421" t="s">
        <v>378</v>
      </c>
      <c r="H9" s="367">
        <v>606222</v>
      </c>
      <c r="I9" s="367">
        <v>595927.43599999999</v>
      </c>
      <c r="J9" s="419"/>
      <c r="K9" s="368">
        <f t="shared" ref="K9:K21" si="1">J9/I9</f>
        <v>0</v>
      </c>
    </row>
    <row r="10" spans="1:11" x14ac:dyDescent="0.25">
      <c r="A10" s="473" t="s">
        <v>15</v>
      </c>
      <c r="B10" s="421" t="s">
        <v>53</v>
      </c>
      <c r="C10" s="419"/>
      <c r="D10" s="419"/>
      <c r="E10" s="419"/>
      <c r="F10" s="384"/>
      <c r="G10" s="421" t="s">
        <v>112</v>
      </c>
      <c r="H10" s="367">
        <v>22643</v>
      </c>
      <c r="I10" s="367">
        <v>26870.351999999999</v>
      </c>
      <c r="J10" s="419">
        <v>22845.377</v>
      </c>
      <c r="K10" s="368">
        <f t="shared" si="1"/>
        <v>0.85020758194756818</v>
      </c>
    </row>
    <row r="11" spans="1:11" x14ac:dyDescent="0.25">
      <c r="A11" s="473" t="s">
        <v>20</v>
      </c>
      <c r="B11" s="421" t="s">
        <v>181</v>
      </c>
      <c r="C11" s="419"/>
      <c r="D11" s="419"/>
      <c r="E11" s="419"/>
      <c r="F11" s="384"/>
      <c r="G11" s="421" t="s">
        <v>183</v>
      </c>
      <c r="H11" s="367"/>
      <c r="I11" s="367"/>
      <c r="J11" s="419"/>
      <c r="K11" s="368"/>
    </row>
    <row r="12" spans="1:11" x14ac:dyDescent="0.25">
      <c r="A12" s="473" t="s">
        <v>29</v>
      </c>
      <c r="B12" s="421" t="s">
        <v>182</v>
      </c>
      <c r="C12" s="419"/>
      <c r="D12" s="419"/>
      <c r="E12" s="419"/>
      <c r="F12" s="384"/>
      <c r="G12" s="421" t="s">
        <v>116</v>
      </c>
      <c r="H12" s="367"/>
      <c r="I12" s="367"/>
      <c r="J12" s="419"/>
      <c r="K12" s="368"/>
    </row>
    <row r="13" spans="1:11" x14ac:dyDescent="0.25">
      <c r="A13" s="473" t="s">
        <v>52</v>
      </c>
      <c r="B13" s="421" t="s">
        <v>392</v>
      </c>
      <c r="C13" s="419"/>
      <c r="D13" s="419"/>
      <c r="E13" s="419"/>
      <c r="F13" s="384"/>
      <c r="G13" s="421" t="s">
        <v>321</v>
      </c>
      <c r="H13" s="367">
        <v>3829</v>
      </c>
      <c r="I13" s="367">
        <v>4343.6189999999997</v>
      </c>
      <c r="J13" s="419"/>
      <c r="K13" s="368">
        <f t="shared" si="1"/>
        <v>0</v>
      </c>
    </row>
    <row r="14" spans="1:11" ht="15.75" thickBot="1" x14ac:dyDescent="0.3">
      <c r="A14" s="474" t="s">
        <v>54</v>
      </c>
      <c r="B14" s="425" t="s">
        <v>376</v>
      </c>
      <c r="C14" s="426">
        <v>15000</v>
      </c>
      <c r="D14" s="426">
        <v>15000</v>
      </c>
      <c r="E14" s="426">
        <v>15000</v>
      </c>
      <c r="F14" s="393">
        <f t="shared" si="0"/>
        <v>1</v>
      </c>
      <c r="G14" s="425"/>
      <c r="H14" s="369"/>
      <c r="I14" s="367"/>
      <c r="J14" s="419"/>
      <c r="K14" s="386"/>
    </row>
    <row r="15" spans="1:11" ht="15.75" thickBot="1" x14ac:dyDescent="0.3">
      <c r="A15" s="465" t="s">
        <v>56</v>
      </c>
      <c r="B15" s="414" t="s">
        <v>184</v>
      </c>
      <c r="C15" s="475">
        <f>C8+C10+C13+C14</f>
        <v>322909</v>
      </c>
      <c r="D15" s="475">
        <f>D8+D10+D13+D14+D11</f>
        <v>313129.05499999999</v>
      </c>
      <c r="E15" s="363">
        <f>E8+E10+E13+E14+E11</f>
        <v>16270</v>
      </c>
      <c r="F15" s="385">
        <f t="shared" si="0"/>
        <v>5.1959406960813651E-2</v>
      </c>
      <c r="G15" s="484" t="s">
        <v>322</v>
      </c>
      <c r="H15" s="363">
        <f>H8+H10+H12+H13</f>
        <v>649161</v>
      </c>
      <c r="I15" s="381">
        <f>I8+I10+I12+I13</f>
        <v>644685.63699999987</v>
      </c>
      <c r="J15" s="381">
        <f>J8+J10+J12+J13</f>
        <v>26175.019</v>
      </c>
      <c r="K15" s="385">
        <f t="shared" si="1"/>
        <v>4.0601213208042983E-2</v>
      </c>
    </row>
    <row r="16" spans="1:11" ht="15.75" thickBot="1" x14ac:dyDescent="0.3">
      <c r="A16" s="476" t="s">
        <v>58</v>
      </c>
      <c r="B16" s="477" t="s">
        <v>167</v>
      </c>
      <c r="C16" s="478">
        <f>C17</f>
        <v>326252</v>
      </c>
      <c r="D16" s="478">
        <f>D17</f>
        <v>331556.58199999999</v>
      </c>
      <c r="E16" s="485">
        <f>E17</f>
        <v>331556.58199999999</v>
      </c>
      <c r="F16" s="385">
        <f t="shared" si="0"/>
        <v>1</v>
      </c>
      <c r="G16" s="486" t="s">
        <v>186</v>
      </c>
      <c r="H16" s="365"/>
      <c r="I16" s="367"/>
      <c r="J16" s="419"/>
      <c r="K16" s="384"/>
    </row>
    <row r="17" spans="1:11" x14ac:dyDescent="0.25">
      <c r="A17" s="473" t="s">
        <v>59</v>
      </c>
      <c r="B17" s="421" t="s">
        <v>165</v>
      </c>
      <c r="C17" s="419">
        <v>326252</v>
      </c>
      <c r="D17" s="419">
        <v>331556.58199999999</v>
      </c>
      <c r="E17" s="419">
        <v>331556.58199999999</v>
      </c>
      <c r="F17" s="384">
        <f t="shared" si="0"/>
        <v>1</v>
      </c>
      <c r="G17" s="421"/>
      <c r="H17" s="367"/>
      <c r="I17" s="367"/>
      <c r="J17" s="419"/>
      <c r="K17" s="368"/>
    </row>
    <row r="18" spans="1:11" x14ac:dyDescent="0.25">
      <c r="A18" s="473" t="s">
        <v>67</v>
      </c>
      <c r="B18" s="421" t="s">
        <v>168</v>
      </c>
      <c r="C18" s="419"/>
      <c r="D18" s="419"/>
      <c r="E18" s="419"/>
      <c r="F18" s="384"/>
      <c r="G18" s="421"/>
      <c r="H18" s="367"/>
      <c r="I18" s="367"/>
      <c r="J18" s="419"/>
      <c r="K18" s="368"/>
    </row>
    <row r="19" spans="1:11" ht="15.75" thickBot="1" x14ac:dyDescent="0.3">
      <c r="A19" s="474" t="s">
        <v>69</v>
      </c>
      <c r="B19" s="425" t="s">
        <v>185</v>
      </c>
      <c r="C19" s="426"/>
      <c r="D19" s="426"/>
      <c r="E19" s="426"/>
      <c r="F19" s="393"/>
      <c r="G19" s="425"/>
      <c r="H19" s="369"/>
      <c r="I19" s="369"/>
      <c r="J19" s="426"/>
      <c r="K19" s="386"/>
    </row>
    <row r="20" spans="1:11" ht="15.75" thickBot="1" x14ac:dyDescent="0.3">
      <c r="A20" s="465" t="s">
        <v>71</v>
      </c>
      <c r="B20" s="414" t="s">
        <v>187</v>
      </c>
      <c r="C20" s="475">
        <f>C16+C18</f>
        <v>326252</v>
      </c>
      <c r="D20" s="475">
        <f>D16+D18</f>
        <v>331556.58199999999</v>
      </c>
      <c r="E20" s="363">
        <f>E16+E18</f>
        <v>331556.58199999999</v>
      </c>
      <c r="F20" s="385">
        <f t="shared" si="0"/>
        <v>1</v>
      </c>
      <c r="G20" s="484" t="s">
        <v>188</v>
      </c>
      <c r="H20" s="363"/>
      <c r="I20" s="479"/>
      <c r="J20" s="460"/>
      <c r="K20" s="391"/>
    </row>
    <row r="21" spans="1:11" ht="15.75" thickBot="1" x14ac:dyDescent="0.3">
      <c r="A21" s="480" t="s">
        <v>77</v>
      </c>
      <c r="B21" s="481" t="s">
        <v>170</v>
      </c>
      <c r="C21" s="475">
        <f>C15+C20</f>
        <v>649161</v>
      </c>
      <c r="D21" s="475">
        <f>D15+D20</f>
        <v>644685.63699999999</v>
      </c>
      <c r="E21" s="363">
        <f>E15+E20</f>
        <v>347826.58199999999</v>
      </c>
      <c r="F21" s="385">
        <f t="shared" si="0"/>
        <v>0.53952897666308641</v>
      </c>
      <c r="G21" s="484" t="s">
        <v>173</v>
      </c>
      <c r="H21" s="363">
        <f>H15+H20</f>
        <v>649161</v>
      </c>
      <c r="I21" s="381">
        <f>I15+I20</f>
        <v>644685.63699999987</v>
      </c>
      <c r="J21" s="381">
        <f>J15+J20</f>
        <v>26175.019</v>
      </c>
      <c r="K21" s="385">
        <f t="shared" si="1"/>
        <v>4.0601213208042983E-2</v>
      </c>
    </row>
    <row r="22" spans="1:11" ht="15.75" thickBot="1" x14ac:dyDescent="0.3">
      <c r="A22" s="469" t="s">
        <v>79</v>
      </c>
      <c r="B22" s="481" t="s">
        <v>175</v>
      </c>
      <c r="C22" s="475">
        <f>H15-C15</f>
        <v>326252</v>
      </c>
      <c r="D22" s="475">
        <f>I15-D15</f>
        <v>331556.58199999988</v>
      </c>
      <c r="E22" s="475">
        <f>J15-E15</f>
        <v>9905.0190000000002</v>
      </c>
      <c r="F22" s="482"/>
      <c r="G22" s="414" t="s">
        <v>174</v>
      </c>
      <c r="H22" s="363">
        <v>0</v>
      </c>
      <c r="I22" s="381">
        <v>0</v>
      </c>
      <c r="J22" s="381"/>
      <c r="K22" s="384"/>
    </row>
    <row r="23" spans="1:11" ht="15.75" thickBot="1" x14ac:dyDescent="0.3">
      <c r="A23" s="469" t="s">
        <v>156</v>
      </c>
      <c r="B23" s="481" t="s">
        <v>176</v>
      </c>
      <c r="C23" s="475">
        <f>C21-H21</f>
        <v>0</v>
      </c>
      <c r="D23" s="475">
        <f>D21-I21</f>
        <v>0</v>
      </c>
      <c r="E23" s="475"/>
      <c r="F23" s="482"/>
      <c r="G23" s="414" t="s">
        <v>177</v>
      </c>
      <c r="H23" s="363">
        <f>H21-C21</f>
        <v>0</v>
      </c>
      <c r="I23" s="381">
        <f>I21-D21</f>
        <v>0</v>
      </c>
      <c r="J23" s="431">
        <f>E21-J21</f>
        <v>321651.56299999997</v>
      </c>
      <c r="K23" s="368"/>
    </row>
  </sheetData>
  <mergeCells count="5">
    <mergeCell ref="A3:K3"/>
    <mergeCell ref="A2:K2"/>
    <mergeCell ref="B1:K1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91"/>
  <sheetViews>
    <sheetView showWhiteSpace="0" view="pageBreakPreview" zoomScaleNormal="100" zoomScaleSheetLayoutView="100" workbookViewId="0">
      <pane xSplit="4" ySplit="4" topLeftCell="Y62" activePane="bottomRight" state="frozen"/>
      <selection pane="topRight" activeCell="D1" sqref="D1"/>
      <selection pane="bottomLeft" activeCell="A6" sqref="A6"/>
      <selection pane="bottomRight" activeCell="AM69" sqref="AM69:AM70"/>
    </sheetView>
  </sheetViews>
  <sheetFormatPr defaultRowHeight="15" x14ac:dyDescent="0.25"/>
  <cols>
    <col min="1" max="2" width="8.28515625" style="282" customWidth="1"/>
    <col min="3" max="3" width="14" style="282" customWidth="1"/>
    <col min="4" max="4" width="63.5703125" style="282" customWidth="1"/>
    <col min="5" max="6" width="11.28515625" style="283" bestFit="1" customWidth="1"/>
    <col min="7" max="7" width="11.28515625" style="283" customWidth="1"/>
    <col min="8" max="9" width="12.42578125" style="283" bestFit="1" customWidth="1"/>
    <col min="10" max="10" width="11.28515625" style="283" customWidth="1"/>
    <col min="11" max="12" width="12.42578125" style="283" bestFit="1" customWidth="1"/>
    <col min="13" max="16" width="12.42578125" style="283" customWidth="1"/>
    <col min="17" max="18" width="12.42578125" style="283" bestFit="1" customWidth="1"/>
    <col min="19" max="19" width="12.42578125" style="283" customWidth="1"/>
    <col min="20" max="20" width="13.42578125" style="283" customWidth="1"/>
    <col min="21" max="22" width="14" style="283" customWidth="1"/>
    <col min="23" max="23" width="11" style="283" bestFit="1" customWidth="1"/>
    <col min="24" max="24" width="8.42578125" style="283" bestFit="1" customWidth="1"/>
    <col min="25" max="25" width="8.42578125" style="283" customWidth="1"/>
    <col min="26" max="26" width="9.5703125" style="283" bestFit="1" customWidth="1"/>
    <col min="27" max="28" width="8.42578125" style="283" customWidth="1"/>
    <col min="29" max="29" width="9.5703125" style="283" bestFit="1" customWidth="1"/>
    <col min="30" max="31" width="8.42578125" style="283" customWidth="1"/>
    <col min="32" max="33" width="12.42578125" style="283" bestFit="1" customWidth="1"/>
    <col min="34" max="34" width="12.42578125" style="283" customWidth="1"/>
    <col min="35" max="35" width="14.5703125" style="283" customWidth="1"/>
    <col min="36" max="36" width="11.28515625" style="282" hidden="1" customWidth="1"/>
    <col min="37" max="37" width="14" style="282" customWidth="1"/>
    <col min="38" max="38" width="12.42578125" style="282" bestFit="1" customWidth="1"/>
    <col min="39" max="39" width="9.42578125" style="321" bestFit="1" customWidth="1"/>
    <col min="40" max="16384" width="9.140625" style="282"/>
  </cols>
  <sheetData>
    <row r="1" spans="1:41" x14ac:dyDescent="0.25">
      <c r="A1" s="281"/>
      <c r="B1" s="281"/>
      <c r="W1" s="552" t="s">
        <v>409</v>
      </c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</row>
    <row r="2" spans="1:41" ht="61.5" customHeight="1" x14ac:dyDescent="0.25">
      <c r="A2" s="284">
        <v>1</v>
      </c>
      <c r="B2" s="284"/>
      <c r="C2" s="284"/>
      <c r="D2" s="556" t="s">
        <v>410</v>
      </c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8"/>
    </row>
    <row r="3" spans="1:41" ht="62.25" customHeight="1" x14ac:dyDescent="0.25">
      <c r="A3" s="284">
        <v>2</v>
      </c>
      <c r="B3" s="284"/>
      <c r="C3" s="285" t="s">
        <v>202</v>
      </c>
      <c r="D3" s="286" t="s">
        <v>203</v>
      </c>
      <c r="E3" s="553" t="s">
        <v>160</v>
      </c>
      <c r="F3" s="554"/>
      <c r="G3" s="555"/>
      <c r="H3" s="553" t="s">
        <v>159</v>
      </c>
      <c r="I3" s="554"/>
      <c r="J3" s="555"/>
      <c r="K3" s="553" t="s">
        <v>204</v>
      </c>
      <c r="L3" s="554"/>
      <c r="M3" s="555"/>
      <c r="N3" s="553" t="s">
        <v>376</v>
      </c>
      <c r="O3" s="554"/>
      <c r="P3" s="555"/>
      <c r="Q3" s="553" t="s">
        <v>205</v>
      </c>
      <c r="R3" s="554"/>
      <c r="S3" s="555"/>
      <c r="T3" s="553" t="s">
        <v>206</v>
      </c>
      <c r="U3" s="554"/>
      <c r="V3" s="555"/>
      <c r="W3" s="553" t="s">
        <v>207</v>
      </c>
      <c r="X3" s="554"/>
      <c r="Y3" s="555"/>
      <c r="Z3" s="553" t="s">
        <v>375</v>
      </c>
      <c r="AA3" s="554"/>
      <c r="AB3" s="555"/>
      <c r="AC3" s="553" t="s">
        <v>381</v>
      </c>
      <c r="AD3" s="554"/>
      <c r="AE3" s="555"/>
      <c r="AF3" s="553" t="s">
        <v>208</v>
      </c>
      <c r="AG3" s="554"/>
      <c r="AH3" s="555"/>
      <c r="AI3" s="553" t="s">
        <v>209</v>
      </c>
      <c r="AJ3" s="554"/>
      <c r="AK3" s="554"/>
      <c r="AL3" s="554"/>
      <c r="AM3" s="555"/>
    </row>
    <row r="4" spans="1:41" s="292" customFormat="1" ht="43.5" customHeight="1" x14ac:dyDescent="0.25">
      <c r="A4" s="287">
        <v>3</v>
      </c>
      <c r="B4" s="287"/>
      <c r="C4" s="287"/>
      <c r="D4" s="286" t="s">
        <v>189</v>
      </c>
      <c r="E4" s="288" t="s">
        <v>411</v>
      </c>
      <c r="F4" s="100" t="s">
        <v>412</v>
      </c>
      <c r="G4" s="100" t="s">
        <v>398</v>
      </c>
      <c r="H4" s="288" t="s">
        <v>411</v>
      </c>
      <c r="I4" s="100" t="s">
        <v>412</v>
      </c>
      <c r="J4" s="100" t="s">
        <v>398</v>
      </c>
      <c r="K4" s="288" t="s">
        <v>411</v>
      </c>
      <c r="L4" s="100" t="s">
        <v>412</v>
      </c>
      <c r="M4" s="100" t="s">
        <v>398</v>
      </c>
      <c r="N4" s="288" t="s">
        <v>411</v>
      </c>
      <c r="O4" s="100" t="s">
        <v>412</v>
      </c>
      <c r="P4" s="100" t="s">
        <v>398</v>
      </c>
      <c r="Q4" s="288" t="s">
        <v>411</v>
      </c>
      <c r="R4" s="100" t="s">
        <v>412</v>
      </c>
      <c r="S4" s="100" t="s">
        <v>398</v>
      </c>
      <c r="T4" s="288" t="s">
        <v>413</v>
      </c>
      <c r="U4" s="100" t="s">
        <v>412</v>
      </c>
      <c r="V4" s="100" t="s">
        <v>398</v>
      </c>
      <c r="W4" s="288" t="s">
        <v>411</v>
      </c>
      <c r="X4" s="100" t="s">
        <v>412</v>
      </c>
      <c r="Y4" s="100" t="s">
        <v>398</v>
      </c>
      <c r="Z4" s="288" t="s">
        <v>411</v>
      </c>
      <c r="AA4" s="100" t="s">
        <v>412</v>
      </c>
      <c r="AB4" s="100" t="s">
        <v>398</v>
      </c>
      <c r="AC4" s="288" t="s">
        <v>411</v>
      </c>
      <c r="AD4" s="100" t="s">
        <v>412</v>
      </c>
      <c r="AE4" s="100" t="s">
        <v>398</v>
      </c>
      <c r="AF4" s="288" t="s">
        <v>411</v>
      </c>
      <c r="AG4" s="100" t="s">
        <v>412</v>
      </c>
      <c r="AH4" s="100" t="s">
        <v>398</v>
      </c>
      <c r="AI4" s="289" t="s">
        <v>411</v>
      </c>
      <c r="AJ4" s="290" t="s">
        <v>210</v>
      </c>
      <c r="AK4" s="191" t="s">
        <v>412</v>
      </c>
      <c r="AL4" s="100" t="s">
        <v>398</v>
      </c>
      <c r="AM4" s="319" t="s">
        <v>399</v>
      </c>
      <c r="AN4" s="291"/>
      <c r="AO4" s="291"/>
    </row>
    <row r="5" spans="1:41" x14ac:dyDescent="0.25">
      <c r="A5" s="284">
        <v>4</v>
      </c>
      <c r="B5" s="284">
        <v>104</v>
      </c>
      <c r="C5" s="284" t="s">
        <v>211</v>
      </c>
      <c r="D5" s="293" t="s">
        <v>212</v>
      </c>
      <c r="E5" s="294"/>
      <c r="F5" s="294"/>
      <c r="G5" s="294"/>
      <c r="H5" s="128">
        <v>90983</v>
      </c>
      <c r="I5" s="128">
        <v>90983</v>
      </c>
      <c r="J5" s="506">
        <v>45088.957000000002</v>
      </c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5">
        <f>E5+H5+K5+Q5+T5+W5+AF5</f>
        <v>90983</v>
      </c>
      <c r="AJ5" s="295">
        <f t="shared" ref="AJ5" si="0">F5+I5+L5+R5+U5+X5+AG5</f>
        <v>90983</v>
      </c>
      <c r="AK5" s="295">
        <f>F5+I5+L5+R5+U5+X5+AG5</f>
        <v>90983</v>
      </c>
      <c r="AL5" s="295">
        <f>G5+J5+M5+S5+V5+Y5+AH5</f>
        <v>45088.957000000002</v>
      </c>
      <c r="AM5" s="322">
        <f>AL5/AK5</f>
        <v>0.49557562401767363</v>
      </c>
      <c r="AN5" s="297"/>
      <c r="AO5" s="297"/>
    </row>
    <row r="6" spans="1:41" x14ac:dyDescent="0.25">
      <c r="A6" s="284">
        <v>5</v>
      </c>
      <c r="B6" s="284">
        <v>105</v>
      </c>
      <c r="C6" s="284" t="s">
        <v>211</v>
      </c>
      <c r="D6" s="293" t="s">
        <v>213</v>
      </c>
      <c r="E6" s="294"/>
      <c r="F6" s="294"/>
      <c r="G6" s="294"/>
      <c r="H6" s="128">
        <v>44</v>
      </c>
      <c r="I6" s="128">
        <v>44</v>
      </c>
      <c r="J6" s="506">
        <v>90.048000000000002</v>
      </c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5">
        <f t="shared" ref="AI6:AI60" si="1">E6+H6+K6+Q6+T6+W6+AF6</f>
        <v>44</v>
      </c>
      <c r="AJ6" s="295">
        <f t="shared" ref="AJ6:AJ60" si="2">F6+I6+L6+R6+U6+X6+AG6</f>
        <v>44</v>
      </c>
      <c r="AK6" s="295">
        <f t="shared" ref="AK6:AL11" si="3">F6+I6+L6+R6+U6+X6+AG6</f>
        <v>44</v>
      </c>
      <c r="AL6" s="295">
        <f t="shared" si="3"/>
        <v>90.048000000000002</v>
      </c>
      <c r="AM6" s="322">
        <f t="shared" ref="AM6:AM72" si="4">AL6/AK6</f>
        <v>2.0465454545454547</v>
      </c>
    </row>
    <row r="7" spans="1:41" x14ac:dyDescent="0.25">
      <c r="A7" s="284">
        <v>6</v>
      </c>
      <c r="B7" s="284">
        <v>106</v>
      </c>
      <c r="C7" s="284" t="s">
        <v>211</v>
      </c>
      <c r="D7" s="293" t="s">
        <v>214</v>
      </c>
      <c r="E7" s="294"/>
      <c r="F7" s="294"/>
      <c r="G7" s="294"/>
      <c r="H7" s="128">
        <v>10605</v>
      </c>
      <c r="I7" s="128">
        <v>10605</v>
      </c>
      <c r="J7" s="506">
        <v>5115.33</v>
      </c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5">
        <f t="shared" si="1"/>
        <v>10605</v>
      </c>
      <c r="AJ7" s="295">
        <f t="shared" si="2"/>
        <v>10605</v>
      </c>
      <c r="AK7" s="295">
        <f t="shared" si="3"/>
        <v>10605</v>
      </c>
      <c r="AL7" s="295">
        <f t="shared" si="3"/>
        <v>5115.33</v>
      </c>
      <c r="AM7" s="322">
        <f t="shared" si="4"/>
        <v>0.48235077793493636</v>
      </c>
    </row>
    <row r="8" spans="1:41" x14ac:dyDescent="0.25">
      <c r="A8" s="284">
        <v>7</v>
      </c>
      <c r="B8" s="284">
        <v>107</v>
      </c>
      <c r="C8" s="284" t="s">
        <v>211</v>
      </c>
      <c r="D8" s="293" t="s">
        <v>215</v>
      </c>
      <c r="E8" s="294"/>
      <c r="F8" s="294"/>
      <c r="G8" s="294"/>
      <c r="H8" s="128">
        <v>695</v>
      </c>
      <c r="I8" s="128">
        <v>695</v>
      </c>
      <c r="J8" s="506">
        <v>504.779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5">
        <f t="shared" si="1"/>
        <v>695</v>
      </c>
      <c r="AJ8" s="295">
        <f t="shared" si="2"/>
        <v>695</v>
      </c>
      <c r="AK8" s="295">
        <f t="shared" si="3"/>
        <v>695</v>
      </c>
      <c r="AL8" s="295">
        <f t="shared" si="3"/>
        <v>504.779</v>
      </c>
      <c r="AM8" s="322">
        <f t="shared" si="4"/>
        <v>0.72630071942446039</v>
      </c>
    </row>
    <row r="9" spans="1:41" x14ac:dyDescent="0.25">
      <c r="A9" s="284">
        <v>8</v>
      </c>
      <c r="B9" s="284">
        <v>108</v>
      </c>
      <c r="C9" s="284" t="s">
        <v>211</v>
      </c>
      <c r="D9" s="293" t="s">
        <v>50</v>
      </c>
      <c r="E9" s="128"/>
      <c r="F9" s="128"/>
      <c r="G9" s="128"/>
      <c r="H9" s="294">
        <v>195</v>
      </c>
      <c r="I9" s="294">
        <v>195</v>
      </c>
      <c r="J9" s="507">
        <v>215.90899999999999</v>
      </c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5">
        <f t="shared" si="1"/>
        <v>195</v>
      </c>
      <c r="AJ9" s="295">
        <f t="shared" si="2"/>
        <v>195</v>
      </c>
      <c r="AK9" s="295">
        <f t="shared" si="3"/>
        <v>195</v>
      </c>
      <c r="AL9" s="295">
        <f t="shared" si="3"/>
        <v>215.90899999999999</v>
      </c>
      <c r="AM9" s="322">
        <f t="shared" si="4"/>
        <v>1.1072256410256409</v>
      </c>
    </row>
    <row r="10" spans="1:41" x14ac:dyDescent="0.25">
      <c r="A10" s="284">
        <v>9</v>
      </c>
      <c r="B10" s="284">
        <v>109</v>
      </c>
      <c r="C10" s="284" t="s">
        <v>211</v>
      </c>
      <c r="D10" s="293" t="s">
        <v>461</v>
      </c>
      <c r="E10" s="294"/>
      <c r="F10" s="294"/>
      <c r="G10" s="294"/>
      <c r="H10" s="128">
        <v>160</v>
      </c>
      <c r="I10" s="128">
        <v>160</v>
      </c>
      <c r="J10" s="506">
        <v>130.30000000000001</v>
      </c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>
        <f t="shared" si="1"/>
        <v>160</v>
      </c>
      <c r="AJ10" s="295">
        <f t="shared" si="2"/>
        <v>160</v>
      </c>
      <c r="AK10" s="295">
        <f t="shared" si="3"/>
        <v>160</v>
      </c>
      <c r="AL10" s="295">
        <f t="shared" si="3"/>
        <v>130.30000000000001</v>
      </c>
      <c r="AM10" s="322">
        <f t="shared" si="4"/>
        <v>0.81437500000000007</v>
      </c>
    </row>
    <row r="11" spans="1:41" x14ac:dyDescent="0.25">
      <c r="A11" s="284">
        <v>10</v>
      </c>
      <c r="B11" s="284">
        <v>109</v>
      </c>
      <c r="C11" s="284" t="s">
        <v>211</v>
      </c>
      <c r="D11" s="293" t="s">
        <v>462</v>
      </c>
      <c r="E11" s="294"/>
      <c r="F11" s="294"/>
      <c r="G11" s="294"/>
      <c r="H11" s="128">
        <v>134</v>
      </c>
      <c r="I11" s="128">
        <v>134</v>
      </c>
      <c r="J11" s="506">
        <v>130.964</v>
      </c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5">
        <f t="shared" si="1"/>
        <v>134</v>
      </c>
      <c r="AJ11" s="295"/>
      <c r="AK11" s="295">
        <f t="shared" si="3"/>
        <v>134</v>
      </c>
      <c r="AL11" s="295">
        <f t="shared" si="3"/>
        <v>130.964</v>
      </c>
      <c r="AM11" s="322">
        <f t="shared" si="4"/>
        <v>0.97734328358208955</v>
      </c>
    </row>
    <row r="12" spans="1:41" x14ac:dyDescent="0.25">
      <c r="A12" s="284">
        <v>11</v>
      </c>
      <c r="B12" s="284">
        <v>113</v>
      </c>
      <c r="C12" s="284" t="s">
        <v>211</v>
      </c>
      <c r="D12" s="293" t="s">
        <v>216</v>
      </c>
      <c r="E12" s="294"/>
      <c r="F12" s="294"/>
      <c r="G12" s="294"/>
      <c r="H12" s="128">
        <v>5</v>
      </c>
      <c r="I12" s="128">
        <v>5</v>
      </c>
      <c r="J12" s="506">
        <v>1</v>
      </c>
      <c r="K12" s="294"/>
      <c r="L12" s="294"/>
      <c r="M12" s="294"/>
      <c r="N12" s="294"/>
      <c r="O12" s="294"/>
      <c r="P12" s="294"/>
      <c r="Q12" s="294"/>
      <c r="R12" s="294"/>
      <c r="S12" s="294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294"/>
      <c r="AG12" s="294"/>
      <c r="AH12" s="294"/>
      <c r="AI12" s="295">
        <f>E12+H12+K12+Q12+T12+W12+AF12</f>
        <v>5</v>
      </c>
      <c r="AJ12" s="295">
        <f t="shared" si="2"/>
        <v>5</v>
      </c>
      <c r="AK12" s="295">
        <f>F12+I12+L12+R12+U12+X12+AG12</f>
        <v>5</v>
      </c>
      <c r="AL12" s="295">
        <f>G12+J12+M12+S12+V12+Y12+AH12</f>
        <v>1</v>
      </c>
      <c r="AM12" s="322">
        <f t="shared" si="4"/>
        <v>0.2</v>
      </c>
    </row>
    <row r="13" spans="1:41" x14ac:dyDescent="0.25">
      <c r="A13" s="284">
        <v>12</v>
      </c>
      <c r="B13" s="502" t="s">
        <v>379</v>
      </c>
      <c r="C13" s="284" t="s">
        <v>211</v>
      </c>
      <c r="D13" s="293" t="s">
        <v>218</v>
      </c>
      <c r="E13" s="294"/>
      <c r="F13" s="294"/>
      <c r="G13" s="294"/>
      <c r="H13" s="294"/>
      <c r="I13" s="294"/>
      <c r="J13" s="294"/>
      <c r="K13" s="298">
        <v>72684.600000000006</v>
      </c>
      <c r="L13" s="298">
        <v>72684.600000000006</v>
      </c>
      <c r="M13" s="298">
        <f>L13*0.5212+0.534</f>
        <v>37883.747520000004</v>
      </c>
      <c r="N13" s="128"/>
      <c r="O13" s="128"/>
      <c r="P13" s="128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5">
        <f t="shared" si="1"/>
        <v>72684.600000000006</v>
      </c>
      <c r="AJ13" s="295">
        <f t="shared" si="2"/>
        <v>72684.600000000006</v>
      </c>
      <c r="AK13" s="295">
        <f t="shared" ref="AK13:AL60" si="5">F13+I13+L13+R13+U13+X13+AG13</f>
        <v>72684.600000000006</v>
      </c>
      <c r="AL13" s="503">
        <f t="shared" si="5"/>
        <v>37883.747520000004</v>
      </c>
      <c r="AM13" s="322">
        <f t="shared" si="4"/>
        <v>0.52120734681074121</v>
      </c>
    </row>
    <row r="14" spans="1:41" x14ac:dyDescent="0.25">
      <c r="A14" s="284">
        <v>13</v>
      </c>
      <c r="B14" s="502"/>
      <c r="C14" s="284" t="s">
        <v>211</v>
      </c>
      <c r="D14" s="293" t="s">
        <v>219</v>
      </c>
      <c r="E14" s="294"/>
      <c r="F14" s="294"/>
      <c r="G14" s="294"/>
      <c r="H14" s="294"/>
      <c r="I14" s="294"/>
      <c r="J14" s="294"/>
      <c r="K14" s="298">
        <v>7579.77</v>
      </c>
      <c r="L14" s="298">
        <v>7579.77</v>
      </c>
      <c r="M14" s="298">
        <f t="shared" ref="M14:M22" si="6">L14*0.5212</f>
        <v>3950.5761240000002</v>
      </c>
      <c r="N14" s="128"/>
      <c r="O14" s="128"/>
      <c r="P14" s="128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5">
        <f t="shared" si="1"/>
        <v>7579.77</v>
      </c>
      <c r="AJ14" s="295">
        <f t="shared" si="2"/>
        <v>7579.77</v>
      </c>
      <c r="AK14" s="295">
        <f t="shared" si="5"/>
        <v>7579.77</v>
      </c>
      <c r="AL14" s="503">
        <f t="shared" si="5"/>
        <v>3950.5761240000002</v>
      </c>
      <c r="AM14" s="322">
        <f t="shared" si="4"/>
        <v>0.5212</v>
      </c>
    </row>
    <row r="15" spans="1:41" x14ac:dyDescent="0.25">
      <c r="A15" s="284">
        <v>14</v>
      </c>
      <c r="B15" s="502"/>
      <c r="C15" s="284" t="s">
        <v>211</v>
      </c>
      <c r="D15" s="293" t="s">
        <v>220</v>
      </c>
      <c r="E15" s="294"/>
      <c r="F15" s="294"/>
      <c r="G15" s="294"/>
      <c r="H15" s="294"/>
      <c r="I15" s="294"/>
      <c r="J15" s="294"/>
      <c r="K15" s="298">
        <v>13728</v>
      </c>
      <c r="L15" s="298">
        <v>13728</v>
      </c>
      <c r="M15" s="298">
        <f t="shared" si="6"/>
        <v>7155.0335999999998</v>
      </c>
      <c r="N15" s="128"/>
      <c r="O15" s="128"/>
      <c r="P15" s="128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5">
        <f t="shared" si="1"/>
        <v>13728</v>
      </c>
      <c r="AJ15" s="295">
        <f t="shared" si="2"/>
        <v>13728</v>
      </c>
      <c r="AK15" s="295">
        <f t="shared" si="5"/>
        <v>13728</v>
      </c>
      <c r="AL15" s="503">
        <f t="shared" si="5"/>
        <v>7155.0335999999998</v>
      </c>
      <c r="AM15" s="322">
        <f t="shared" si="4"/>
        <v>0.5212</v>
      </c>
    </row>
    <row r="16" spans="1:41" x14ac:dyDescent="0.25">
      <c r="A16" s="284">
        <v>15</v>
      </c>
      <c r="B16" s="502"/>
      <c r="C16" s="284" t="s">
        <v>211</v>
      </c>
      <c r="D16" s="293" t="s">
        <v>312</v>
      </c>
      <c r="E16" s="294"/>
      <c r="F16" s="294"/>
      <c r="G16" s="294"/>
      <c r="H16" s="294"/>
      <c r="I16" s="294"/>
      <c r="J16" s="294"/>
      <c r="K16" s="298">
        <v>0</v>
      </c>
      <c r="L16" s="298">
        <v>0</v>
      </c>
      <c r="M16" s="298">
        <f t="shared" si="6"/>
        <v>0</v>
      </c>
      <c r="N16" s="128"/>
      <c r="O16" s="128"/>
      <c r="P16" s="128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5">
        <f t="shared" si="1"/>
        <v>0</v>
      </c>
      <c r="AJ16" s="295">
        <f t="shared" si="2"/>
        <v>0</v>
      </c>
      <c r="AK16" s="295">
        <f t="shared" si="5"/>
        <v>0</v>
      </c>
      <c r="AL16" s="503">
        <f t="shared" si="5"/>
        <v>0</v>
      </c>
      <c r="AM16" s="322"/>
    </row>
    <row r="17" spans="1:39" x14ac:dyDescent="0.25">
      <c r="A17" s="284">
        <v>16</v>
      </c>
      <c r="B17" s="502"/>
      <c r="C17" s="284" t="s">
        <v>211</v>
      </c>
      <c r="D17" s="293" t="s">
        <v>221</v>
      </c>
      <c r="E17" s="294"/>
      <c r="F17" s="294"/>
      <c r="G17" s="294"/>
      <c r="H17" s="294"/>
      <c r="I17" s="294"/>
      <c r="J17" s="294"/>
      <c r="K17" s="298">
        <v>6117.65</v>
      </c>
      <c r="L17" s="298">
        <v>6117.65</v>
      </c>
      <c r="M17" s="298">
        <f t="shared" si="6"/>
        <v>3188.5191799999998</v>
      </c>
      <c r="N17" s="128"/>
      <c r="O17" s="128"/>
      <c r="P17" s="128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5">
        <f t="shared" si="1"/>
        <v>6117.65</v>
      </c>
      <c r="AJ17" s="295">
        <f t="shared" si="2"/>
        <v>6117.65</v>
      </c>
      <c r="AK17" s="295">
        <f t="shared" si="5"/>
        <v>6117.65</v>
      </c>
      <c r="AL17" s="503">
        <f t="shared" si="5"/>
        <v>3188.5191799999998</v>
      </c>
      <c r="AM17" s="322">
        <f>AL17/AK17</f>
        <v>0.5212</v>
      </c>
    </row>
    <row r="18" spans="1:39" x14ac:dyDescent="0.25">
      <c r="A18" s="284">
        <v>17</v>
      </c>
      <c r="B18" s="502"/>
      <c r="C18" s="284" t="s">
        <v>211</v>
      </c>
      <c r="D18" s="293" t="s">
        <v>324</v>
      </c>
      <c r="E18" s="294"/>
      <c r="F18" s="294"/>
      <c r="G18" s="294"/>
      <c r="H18" s="294"/>
      <c r="I18" s="294"/>
      <c r="J18" s="294"/>
      <c r="K18" s="298">
        <v>641.41999999999996</v>
      </c>
      <c r="L18" s="298">
        <v>641.41999999999996</v>
      </c>
      <c r="M18" s="298">
        <f t="shared" si="6"/>
        <v>334.30810399999996</v>
      </c>
      <c r="N18" s="128"/>
      <c r="O18" s="128"/>
      <c r="P18" s="128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5">
        <f t="shared" si="1"/>
        <v>641.41999999999996</v>
      </c>
      <c r="AJ18" s="295"/>
      <c r="AK18" s="295">
        <f t="shared" si="5"/>
        <v>641.41999999999996</v>
      </c>
      <c r="AL18" s="503">
        <f t="shared" si="5"/>
        <v>334.30810399999996</v>
      </c>
      <c r="AM18" s="322">
        <f t="shared" si="4"/>
        <v>0.5212</v>
      </c>
    </row>
    <row r="19" spans="1:39" x14ac:dyDescent="0.25">
      <c r="A19" s="284">
        <v>18</v>
      </c>
      <c r="B19" s="502"/>
      <c r="C19" s="284" t="s">
        <v>211</v>
      </c>
      <c r="D19" s="293" t="s">
        <v>325</v>
      </c>
      <c r="E19" s="294"/>
      <c r="F19" s="294"/>
      <c r="G19" s="294"/>
      <c r="H19" s="294"/>
      <c r="I19" s="294"/>
      <c r="J19" s="294"/>
      <c r="K19" s="298">
        <v>430.95</v>
      </c>
      <c r="L19" s="298">
        <v>430.95</v>
      </c>
      <c r="M19" s="298">
        <f t="shared" si="6"/>
        <v>224.61114000000001</v>
      </c>
      <c r="N19" s="128"/>
      <c r="O19" s="128"/>
      <c r="P19" s="128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5">
        <f t="shared" si="1"/>
        <v>430.95</v>
      </c>
      <c r="AJ19" s="295"/>
      <c r="AK19" s="295">
        <f t="shared" si="5"/>
        <v>430.95</v>
      </c>
      <c r="AL19" s="503">
        <f t="shared" si="5"/>
        <v>224.61114000000001</v>
      </c>
      <c r="AM19" s="322">
        <f t="shared" si="4"/>
        <v>0.5212</v>
      </c>
    </row>
    <row r="20" spans="1:39" x14ac:dyDescent="0.25">
      <c r="A20" s="284">
        <v>19</v>
      </c>
      <c r="B20" s="502"/>
      <c r="C20" s="284" t="s">
        <v>211</v>
      </c>
      <c r="D20" s="293" t="s">
        <v>223</v>
      </c>
      <c r="E20" s="294"/>
      <c r="F20" s="294"/>
      <c r="G20" s="294"/>
      <c r="H20" s="294"/>
      <c r="I20" s="294"/>
      <c r="J20" s="294"/>
      <c r="K20" s="298">
        <v>3.6</v>
      </c>
      <c r="L20" s="298">
        <v>3.6</v>
      </c>
      <c r="M20" s="298">
        <f t="shared" si="6"/>
        <v>1.87632</v>
      </c>
      <c r="N20" s="128"/>
      <c r="O20" s="128"/>
      <c r="P20" s="128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5">
        <f t="shared" si="1"/>
        <v>3.6</v>
      </c>
      <c r="AJ20" s="295"/>
      <c r="AK20" s="295">
        <f t="shared" si="5"/>
        <v>3.6</v>
      </c>
      <c r="AL20" s="503">
        <f t="shared" si="5"/>
        <v>1.87632</v>
      </c>
      <c r="AM20" s="322">
        <f t="shared" si="4"/>
        <v>0.5212</v>
      </c>
    </row>
    <row r="21" spans="1:39" x14ac:dyDescent="0.25">
      <c r="A21" s="284">
        <v>20</v>
      </c>
      <c r="B21" s="502"/>
      <c r="C21" s="284" t="s">
        <v>211</v>
      </c>
      <c r="D21" s="293" t="s">
        <v>222</v>
      </c>
      <c r="E21" s="294"/>
      <c r="F21" s="294"/>
      <c r="G21" s="294"/>
      <c r="H21" s="294"/>
      <c r="I21" s="294"/>
      <c r="J21" s="294"/>
      <c r="K21" s="298">
        <v>12.1</v>
      </c>
      <c r="L21" s="298">
        <v>12.1</v>
      </c>
      <c r="M21" s="298">
        <f t="shared" si="6"/>
        <v>6.3065199999999999</v>
      </c>
      <c r="N21" s="128"/>
      <c r="O21" s="128"/>
      <c r="P21" s="128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5">
        <f t="shared" si="1"/>
        <v>12.1</v>
      </c>
      <c r="AJ21" s="295">
        <f t="shared" si="2"/>
        <v>12.1</v>
      </c>
      <c r="AK21" s="295">
        <f t="shared" si="5"/>
        <v>12.1</v>
      </c>
      <c r="AL21" s="503">
        <f t="shared" si="5"/>
        <v>6.3065199999999999</v>
      </c>
      <c r="AM21" s="322">
        <f t="shared" si="4"/>
        <v>0.5212</v>
      </c>
    </row>
    <row r="22" spans="1:39" x14ac:dyDescent="0.25">
      <c r="A22" s="284">
        <v>21</v>
      </c>
      <c r="B22" s="502"/>
      <c r="C22" s="284" t="s">
        <v>211</v>
      </c>
      <c r="D22" s="293" t="s">
        <v>449</v>
      </c>
      <c r="E22" s="294"/>
      <c r="F22" s="294"/>
      <c r="G22" s="294"/>
      <c r="H22" s="294"/>
      <c r="I22" s="294"/>
      <c r="J22" s="294"/>
      <c r="K22" s="298">
        <v>1041</v>
      </c>
      <c r="L22" s="298">
        <v>1041</v>
      </c>
      <c r="M22" s="298">
        <f t="shared" si="6"/>
        <v>542.56920000000002</v>
      </c>
      <c r="N22" s="128"/>
      <c r="O22" s="128"/>
      <c r="P22" s="128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5">
        <f t="shared" si="1"/>
        <v>1041</v>
      </c>
      <c r="AJ22" s="295">
        <f t="shared" si="2"/>
        <v>1041</v>
      </c>
      <c r="AK22" s="295">
        <f t="shared" si="5"/>
        <v>1041</v>
      </c>
      <c r="AL22" s="503">
        <f t="shared" si="5"/>
        <v>542.56920000000002</v>
      </c>
      <c r="AM22" s="322">
        <f t="shared" si="4"/>
        <v>0.5212</v>
      </c>
    </row>
    <row r="23" spans="1:39" x14ac:dyDescent="0.25">
      <c r="A23" s="284">
        <v>22</v>
      </c>
      <c r="B23" s="502"/>
      <c r="C23" s="284" t="s">
        <v>211</v>
      </c>
      <c r="D23" s="293" t="s">
        <v>326</v>
      </c>
      <c r="E23" s="294"/>
      <c r="F23" s="294"/>
      <c r="G23" s="294"/>
      <c r="H23" s="294"/>
      <c r="I23" s="294"/>
      <c r="J23" s="294"/>
      <c r="K23" s="299">
        <v>62709.3</v>
      </c>
      <c r="L23" s="299">
        <v>62709.3</v>
      </c>
      <c r="M23" s="299">
        <f>L23*0.4954-2.65</f>
        <v>31063.537220000002</v>
      </c>
      <c r="N23" s="128"/>
      <c r="O23" s="128"/>
      <c r="P23" s="128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5">
        <f t="shared" si="1"/>
        <v>62709.3</v>
      </c>
      <c r="AJ23" s="295">
        <f t="shared" si="2"/>
        <v>62709.3</v>
      </c>
      <c r="AK23" s="295">
        <f t="shared" si="5"/>
        <v>62709.3</v>
      </c>
      <c r="AL23" s="504">
        <f t="shared" si="5"/>
        <v>31063.537220000002</v>
      </c>
      <c r="AM23" s="322">
        <f t="shared" si="4"/>
        <v>0.49535774151521383</v>
      </c>
    </row>
    <row r="24" spans="1:39" x14ac:dyDescent="0.25">
      <c r="A24" s="284">
        <v>23</v>
      </c>
      <c r="B24" s="502"/>
      <c r="C24" s="284" t="s">
        <v>211</v>
      </c>
      <c r="D24" s="293" t="s">
        <v>224</v>
      </c>
      <c r="E24" s="294"/>
      <c r="F24" s="294"/>
      <c r="G24" s="294"/>
      <c r="H24" s="294"/>
      <c r="I24" s="294"/>
      <c r="J24" s="294"/>
      <c r="K24" s="299">
        <v>8442.3340000000007</v>
      </c>
      <c r="L24" s="299">
        <v>8442.3340000000007</v>
      </c>
      <c r="M24" s="299">
        <f t="shared" ref="M24:M25" si="7">L24*0.4954</f>
        <v>4182.3322636000003</v>
      </c>
      <c r="N24" s="128"/>
      <c r="O24" s="128"/>
      <c r="P24" s="128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5">
        <f t="shared" si="1"/>
        <v>8442.3340000000007</v>
      </c>
      <c r="AJ24" s="295">
        <f t="shared" si="2"/>
        <v>8442.3340000000007</v>
      </c>
      <c r="AK24" s="295">
        <f t="shared" si="5"/>
        <v>8442.3340000000007</v>
      </c>
      <c r="AL24" s="504">
        <f t="shared" si="5"/>
        <v>4182.3322636000003</v>
      </c>
      <c r="AM24" s="322">
        <f t="shared" si="4"/>
        <v>0.49540000000000001</v>
      </c>
    </row>
    <row r="25" spans="1:39" x14ac:dyDescent="0.25">
      <c r="A25" s="284">
        <v>24</v>
      </c>
      <c r="B25" s="502"/>
      <c r="C25" s="284" t="s">
        <v>211</v>
      </c>
      <c r="D25" s="293" t="s">
        <v>306</v>
      </c>
      <c r="E25" s="294"/>
      <c r="F25" s="294"/>
      <c r="G25" s="294"/>
      <c r="H25" s="294"/>
      <c r="I25" s="294"/>
      <c r="J25" s="294"/>
      <c r="K25" s="299">
        <v>1169.5840000000001</v>
      </c>
      <c r="L25" s="299">
        <v>1169.5840000000001</v>
      </c>
      <c r="M25" s="299">
        <f t="shared" si="7"/>
        <v>579.41191360000005</v>
      </c>
      <c r="N25" s="128"/>
      <c r="O25" s="128"/>
      <c r="P25" s="128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5">
        <f t="shared" si="1"/>
        <v>1169.5840000000001</v>
      </c>
      <c r="AJ25" s="295">
        <f t="shared" si="2"/>
        <v>1169.5840000000001</v>
      </c>
      <c r="AK25" s="295">
        <f t="shared" si="5"/>
        <v>1169.5840000000001</v>
      </c>
      <c r="AL25" s="504">
        <f t="shared" si="5"/>
        <v>579.41191360000005</v>
      </c>
      <c r="AM25" s="322">
        <f t="shared" si="4"/>
        <v>0.49540000000000001</v>
      </c>
    </row>
    <row r="26" spans="1:39" x14ac:dyDescent="0.25">
      <c r="A26" s="284">
        <v>25</v>
      </c>
      <c r="B26" s="502"/>
      <c r="C26" s="284" t="s">
        <v>211</v>
      </c>
      <c r="D26" s="300" t="s">
        <v>225</v>
      </c>
      <c r="E26" s="294"/>
      <c r="F26" s="294"/>
      <c r="G26" s="294"/>
      <c r="H26" s="294"/>
      <c r="I26" s="294"/>
      <c r="J26" s="294"/>
      <c r="K26" s="129">
        <v>33238</v>
      </c>
      <c r="L26" s="129">
        <v>33238</v>
      </c>
      <c r="M26" s="129">
        <f>L26*0.52-89.842</f>
        <v>17193.918000000001</v>
      </c>
      <c r="N26" s="128"/>
      <c r="O26" s="128"/>
      <c r="P26" s="128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5">
        <f>E26+H26+K26+Q26+T26+W26+AF26</f>
        <v>33238</v>
      </c>
      <c r="AJ26" s="295">
        <f t="shared" si="2"/>
        <v>33238</v>
      </c>
      <c r="AK26" s="295">
        <f t="shared" si="5"/>
        <v>33238</v>
      </c>
      <c r="AL26" s="508">
        <f t="shared" si="5"/>
        <v>17193.918000000001</v>
      </c>
      <c r="AM26" s="322">
        <f t="shared" si="4"/>
        <v>0.51729700944701851</v>
      </c>
    </row>
    <row r="27" spans="1:39" x14ac:dyDescent="0.25">
      <c r="A27" s="284">
        <v>26</v>
      </c>
      <c r="B27" s="502"/>
      <c r="C27" s="284" t="s">
        <v>211</v>
      </c>
      <c r="D27" s="293" t="s">
        <v>227</v>
      </c>
      <c r="E27" s="294"/>
      <c r="F27" s="294"/>
      <c r="G27" s="294"/>
      <c r="H27" s="294"/>
      <c r="I27" s="294"/>
      <c r="J27" s="294"/>
      <c r="K27" s="129">
        <v>14138.16</v>
      </c>
      <c r="L27" s="129">
        <v>14138.16</v>
      </c>
      <c r="M27" s="129">
        <f t="shared" ref="M27:M30" si="8">L27*0.52</f>
        <v>7351.8432000000003</v>
      </c>
      <c r="N27" s="128"/>
      <c r="O27" s="128"/>
      <c r="P27" s="128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5">
        <f>E27+H27+K27+Q27+T27+W27+AF27</f>
        <v>14138.16</v>
      </c>
      <c r="AJ27" s="295"/>
      <c r="AK27" s="295">
        <f t="shared" si="5"/>
        <v>14138.16</v>
      </c>
      <c r="AL27" s="508">
        <f t="shared" si="5"/>
        <v>7351.8432000000003</v>
      </c>
      <c r="AM27" s="322">
        <f t="shared" si="4"/>
        <v>0.52</v>
      </c>
    </row>
    <row r="28" spans="1:39" x14ac:dyDescent="0.25">
      <c r="A28" s="284">
        <v>27</v>
      </c>
      <c r="B28" s="502"/>
      <c r="C28" s="284" t="s">
        <v>217</v>
      </c>
      <c r="D28" s="293" t="s">
        <v>228</v>
      </c>
      <c r="E28" s="294"/>
      <c r="F28" s="294"/>
      <c r="G28" s="294"/>
      <c r="H28" s="294"/>
      <c r="I28" s="294"/>
      <c r="J28" s="294"/>
      <c r="K28" s="129">
        <v>34830</v>
      </c>
      <c r="L28" s="129">
        <v>34830</v>
      </c>
      <c r="M28" s="129">
        <f t="shared" si="8"/>
        <v>18111.600000000002</v>
      </c>
      <c r="N28" s="128"/>
      <c r="O28" s="128"/>
      <c r="P28" s="128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5">
        <f>E28+H28+K28+Q28+T28+W28+AF28</f>
        <v>34830</v>
      </c>
      <c r="AJ28" s="295"/>
      <c r="AK28" s="295">
        <f t="shared" si="5"/>
        <v>34830</v>
      </c>
      <c r="AL28" s="508">
        <f t="shared" si="5"/>
        <v>18111.600000000002</v>
      </c>
      <c r="AM28" s="322">
        <f t="shared" si="4"/>
        <v>0.52</v>
      </c>
    </row>
    <row r="29" spans="1:39" x14ac:dyDescent="0.25">
      <c r="A29" s="284">
        <v>28</v>
      </c>
      <c r="B29" s="502"/>
      <c r="C29" s="284" t="s">
        <v>211</v>
      </c>
      <c r="D29" s="293" t="s">
        <v>226</v>
      </c>
      <c r="E29" s="294"/>
      <c r="F29" s="294"/>
      <c r="G29" s="294"/>
      <c r="H29" s="294"/>
      <c r="I29" s="294"/>
      <c r="J29" s="294"/>
      <c r="K29" s="129">
        <v>37364.481</v>
      </c>
      <c r="L29" s="129">
        <v>37364.481</v>
      </c>
      <c r="M29" s="129">
        <f t="shared" si="8"/>
        <v>19429.530119999999</v>
      </c>
      <c r="N29" s="128"/>
      <c r="O29" s="128"/>
      <c r="P29" s="128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5">
        <f t="shared" si="1"/>
        <v>37364.481</v>
      </c>
      <c r="AJ29" s="295">
        <f t="shared" si="2"/>
        <v>37364.481</v>
      </c>
      <c r="AK29" s="295">
        <f t="shared" si="5"/>
        <v>37364.481</v>
      </c>
      <c r="AL29" s="508">
        <f t="shared" si="5"/>
        <v>19429.530119999999</v>
      </c>
      <c r="AM29" s="322">
        <f t="shared" si="4"/>
        <v>0.52</v>
      </c>
    </row>
    <row r="30" spans="1:39" x14ac:dyDescent="0.25">
      <c r="A30" s="284">
        <v>29</v>
      </c>
      <c r="B30" s="502"/>
      <c r="C30" s="284" t="s">
        <v>211</v>
      </c>
      <c r="D30" s="282" t="s">
        <v>450</v>
      </c>
      <c r="E30" s="294"/>
      <c r="F30" s="294"/>
      <c r="G30" s="294"/>
      <c r="H30" s="294"/>
      <c r="I30" s="294"/>
      <c r="J30" s="294"/>
      <c r="K30" s="129">
        <v>625.86</v>
      </c>
      <c r="L30" s="129">
        <v>625.86</v>
      </c>
      <c r="M30" s="129">
        <f t="shared" si="8"/>
        <v>325.44720000000001</v>
      </c>
      <c r="N30" s="128"/>
      <c r="O30" s="128"/>
      <c r="P30" s="128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5">
        <f t="shared" si="1"/>
        <v>625.86</v>
      </c>
      <c r="AJ30" s="295">
        <f t="shared" si="2"/>
        <v>625.86</v>
      </c>
      <c r="AK30" s="295">
        <f t="shared" si="5"/>
        <v>625.86</v>
      </c>
      <c r="AL30" s="508">
        <f t="shared" si="5"/>
        <v>325.44720000000001</v>
      </c>
      <c r="AM30" s="322">
        <f t="shared" si="4"/>
        <v>0.52</v>
      </c>
    </row>
    <row r="31" spans="1:39" x14ac:dyDescent="0.25">
      <c r="A31" s="284">
        <v>30</v>
      </c>
      <c r="B31" s="502">
        <v>130</v>
      </c>
      <c r="C31" s="284" t="s">
        <v>211</v>
      </c>
      <c r="D31" s="293" t="s">
        <v>229</v>
      </c>
      <c r="E31" s="294"/>
      <c r="F31" s="294"/>
      <c r="G31" s="294"/>
      <c r="H31" s="294"/>
      <c r="I31" s="294"/>
      <c r="J31" s="294"/>
      <c r="K31" s="301">
        <v>4400.7700000000004</v>
      </c>
      <c r="L31" s="301">
        <v>4400.7700000000004</v>
      </c>
      <c r="M31" s="301">
        <f>L31*0.52+169.763</f>
        <v>2458.1634000000004</v>
      </c>
      <c r="N31" s="128"/>
      <c r="O31" s="128"/>
      <c r="P31" s="128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5">
        <f t="shared" si="1"/>
        <v>4400.7700000000004</v>
      </c>
      <c r="AJ31" s="295">
        <f t="shared" si="2"/>
        <v>4400.7700000000004</v>
      </c>
      <c r="AK31" s="295">
        <f t="shared" si="5"/>
        <v>4400.7700000000004</v>
      </c>
      <c r="AL31" s="509">
        <f t="shared" si="5"/>
        <v>2458.1634000000004</v>
      </c>
      <c r="AM31" s="322">
        <f t="shared" si="4"/>
        <v>0.55857574924388231</v>
      </c>
    </row>
    <row r="32" spans="1:39" x14ac:dyDescent="0.25">
      <c r="A32" s="284">
        <v>31</v>
      </c>
      <c r="B32" s="284">
        <v>134</v>
      </c>
      <c r="C32" s="284" t="s">
        <v>211</v>
      </c>
      <c r="D32" s="293" t="s">
        <v>230</v>
      </c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128">
        <v>86294</v>
      </c>
      <c r="R32" s="128">
        <v>86294</v>
      </c>
      <c r="S32" s="506">
        <v>45170.938000000002</v>
      </c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5">
        <f t="shared" si="1"/>
        <v>86294</v>
      </c>
      <c r="AJ32" s="295">
        <f t="shared" si="2"/>
        <v>86294</v>
      </c>
      <c r="AK32" s="295">
        <f t="shared" si="5"/>
        <v>86294</v>
      </c>
      <c r="AL32" s="295">
        <f t="shared" si="5"/>
        <v>45170.938000000002</v>
      </c>
      <c r="AM32" s="322">
        <f t="shared" si="4"/>
        <v>0.52345398289568223</v>
      </c>
    </row>
    <row r="33" spans="1:39" x14ac:dyDescent="0.25">
      <c r="A33" s="284">
        <v>32</v>
      </c>
      <c r="B33" s="284">
        <v>135</v>
      </c>
      <c r="C33" s="284" t="s">
        <v>211</v>
      </c>
      <c r="D33" s="293" t="s">
        <v>231</v>
      </c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128">
        <v>17204</v>
      </c>
      <c r="R33" s="128">
        <v>17204</v>
      </c>
      <c r="S33" s="506">
        <v>3389.4180000000001</v>
      </c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5">
        <f t="shared" si="1"/>
        <v>17204</v>
      </c>
      <c r="AJ33" s="295">
        <f t="shared" si="2"/>
        <v>17204</v>
      </c>
      <c r="AK33" s="295">
        <f t="shared" si="5"/>
        <v>17204</v>
      </c>
      <c r="AL33" s="295">
        <f t="shared" si="5"/>
        <v>3389.4180000000001</v>
      </c>
      <c r="AM33" s="322">
        <f t="shared" si="4"/>
        <v>0.19701336898395722</v>
      </c>
    </row>
    <row r="34" spans="1:39" x14ac:dyDescent="0.25">
      <c r="A34" s="284">
        <v>33</v>
      </c>
      <c r="B34" s="284">
        <v>137</v>
      </c>
      <c r="C34" s="284" t="s">
        <v>211</v>
      </c>
      <c r="D34" s="293" t="s">
        <v>232</v>
      </c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128">
        <v>7875</v>
      </c>
      <c r="R34" s="128">
        <v>7875</v>
      </c>
      <c r="S34" s="506">
        <v>4322.5</v>
      </c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5">
        <f t="shared" si="1"/>
        <v>7875</v>
      </c>
      <c r="AJ34" s="295">
        <f t="shared" si="2"/>
        <v>7875</v>
      </c>
      <c r="AK34" s="295">
        <f t="shared" si="5"/>
        <v>7875</v>
      </c>
      <c r="AL34" s="295">
        <f t="shared" si="5"/>
        <v>4322.5</v>
      </c>
      <c r="AM34" s="322">
        <f t="shared" si="4"/>
        <v>0.54888888888888887</v>
      </c>
    </row>
    <row r="35" spans="1:39" x14ac:dyDescent="0.25">
      <c r="A35" s="284">
        <v>34</v>
      </c>
      <c r="B35" s="284">
        <v>138</v>
      </c>
      <c r="C35" s="284" t="s">
        <v>211</v>
      </c>
      <c r="D35" s="293" t="s">
        <v>233</v>
      </c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128">
        <v>2000</v>
      </c>
      <c r="R35" s="128">
        <v>2000</v>
      </c>
      <c r="S35" s="317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5">
        <f t="shared" si="1"/>
        <v>2000</v>
      </c>
      <c r="AJ35" s="295">
        <f t="shared" si="2"/>
        <v>2000</v>
      </c>
      <c r="AK35" s="295">
        <f t="shared" si="5"/>
        <v>2000</v>
      </c>
      <c r="AL35" s="295">
        <f t="shared" si="5"/>
        <v>0</v>
      </c>
      <c r="AM35" s="322">
        <f t="shared" si="4"/>
        <v>0</v>
      </c>
    </row>
    <row r="36" spans="1:39" x14ac:dyDescent="0.25">
      <c r="A36" s="284">
        <v>35</v>
      </c>
      <c r="B36" s="284">
        <v>139</v>
      </c>
      <c r="C36" s="284" t="s">
        <v>217</v>
      </c>
      <c r="D36" s="293" t="s">
        <v>234</v>
      </c>
      <c r="E36" s="294"/>
      <c r="F36" s="294"/>
      <c r="G36" s="294">
        <v>675.42</v>
      </c>
      <c r="H36" s="294"/>
      <c r="I36" s="294"/>
      <c r="J36" s="294"/>
      <c r="K36" s="294"/>
      <c r="L36" s="294"/>
      <c r="M36" s="294"/>
      <c r="N36" s="294"/>
      <c r="O36" s="294"/>
      <c r="P36" s="294"/>
      <c r="Q36" s="128">
        <v>2562</v>
      </c>
      <c r="R36" s="128">
        <v>2562</v>
      </c>
      <c r="S36" s="506">
        <v>856.14200000000005</v>
      </c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5">
        <f t="shared" si="1"/>
        <v>2562</v>
      </c>
      <c r="AJ36" s="295">
        <f t="shared" si="2"/>
        <v>2562</v>
      </c>
      <c r="AK36" s="295">
        <f t="shared" si="5"/>
        <v>2562</v>
      </c>
      <c r="AL36" s="295">
        <f t="shared" si="5"/>
        <v>1531.5619999999999</v>
      </c>
      <c r="AM36" s="322">
        <f t="shared" si="4"/>
        <v>0.59779937548790008</v>
      </c>
    </row>
    <row r="37" spans="1:39" x14ac:dyDescent="0.25">
      <c r="A37" s="284">
        <v>36</v>
      </c>
      <c r="B37" s="284">
        <v>140</v>
      </c>
      <c r="C37" s="284" t="s">
        <v>211</v>
      </c>
      <c r="D37" s="293" t="s">
        <v>235</v>
      </c>
      <c r="E37" s="128">
        <v>16000</v>
      </c>
      <c r="F37" s="128">
        <v>16000</v>
      </c>
      <c r="G37" s="128">
        <v>10717.645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>
        <v>1000</v>
      </c>
      <c r="R37" s="294">
        <v>1000</v>
      </c>
      <c r="S37" s="294">
        <v>552.66300000000001</v>
      </c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5">
        <f t="shared" si="1"/>
        <v>17000</v>
      </c>
      <c r="AJ37" s="295">
        <f t="shared" si="2"/>
        <v>17000</v>
      </c>
      <c r="AK37" s="295">
        <f>F37+I37+L37+R37+U37+X37+AD37</f>
        <v>17000</v>
      </c>
      <c r="AL37" s="295">
        <f>G37+J37+M37+S37+V37+Y37+AH37+AE37</f>
        <v>11270.308000000001</v>
      </c>
      <c r="AM37" s="322">
        <f t="shared" si="4"/>
        <v>0.66295929411764709</v>
      </c>
    </row>
    <row r="38" spans="1:39" x14ac:dyDescent="0.25">
      <c r="A38" s="284">
        <v>37</v>
      </c>
      <c r="B38" s="284">
        <v>141</v>
      </c>
      <c r="C38" s="284" t="s">
        <v>217</v>
      </c>
      <c r="D38" s="293" t="s">
        <v>236</v>
      </c>
      <c r="E38" s="128">
        <v>2500</v>
      </c>
      <c r="F38" s="128">
        <v>2500</v>
      </c>
      <c r="G38" s="128">
        <v>7.94</v>
      </c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5">
        <f t="shared" si="1"/>
        <v>2500</v>
      </c>
      <c r="AJ38" s="295">
        <f t="shared" si="2"/>
        <v>2500</v>
      </c>
      <c r="AK38" s="295">
        <f>F38+I38+L38+R38+U38+X38+AG38+AE38</f>
        <v>2500</v>
      </c>
      <c r="AL38" s="295">
        <f>G38+J38+M38+S38+V38+Y38+AH38+AE38</f>
        <v>7.94</v>
      </c>
      <c r="AM38" s="322">
        <f t="shared" si="4"/>
        <v>3.176E-3</v>
      </c>
    </row>
    <row r="39" spans="1:39" x14ac:dyDescent="0.25">
      <c r="A39" s="284">
        <v>38</v>
      </c>
      <c r="B39" s="284">
        <v>142</v>
      </c>
      <c r="C39" s="284" t="s">
        <v>217</v>
      </c>
      <c r="D39" s="293" t="s">
        <v>451</v>
      </c>
      <c r="E39" s="128"/>
      <c r="F39" s="128"/>
      <c r="G39" s="128"/>
      <c r="H39" s="294"/>
      <c r="I39" s="294"/>
      <c r="J39" s="294"/>
      <c r="K39" s="294"/>
      <c r="L39" s="294"/>
      <c r="M39" s="294"/>
      <c r="N39" s="294">
        <v>15000</v>
      </c>
      <c r="O39" s="294">
        <v>15000</v>
      </c>
      <c r="P39" s="294">
        <v>15000</v>
      </c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5">
        <f>E39+H39+K39+Q39+T39+W39+AF39+N39</f>
        <v>15000</v>
      </c>
      <c r="AJ39" s="295">
        <f t="shared" ref="AJ39" si="9">F39+I39+L39+R39+U39+X39+AG39+O39</f>
        <v>15000</v>
      </c>
      <c r="AK39" s="295">
        <f>G39+J39+M39+S39+V39+Y39+AH39+P39</f>
        <v>15000</v>
      </c>
      <c r="AL39" s="295">
        <f>G39+J39+M39+S39+V39+Y39+AH39+P39</f>
        <v>15000</v>
      </c>
      <c r="AM39" s="322">
        <f t="shared" si="4"/>
        <v>1</v>
      </c>
    </row>
    <row r="40" spans="1:39" x14ac:dyDescent="0.25">
      <c r="A40" s="284">
        <v>39</v>
      </c>
      <c r="B40" s="284">
        <v>124</v>
      </c>
      <c r="C40" s="284" t="s">
        <v>211</v>
      </c>
      <c r="D40" s="293" t="s">
        <v>334</v>
      </c>
      <c r="E40" s="128"/>
      <c r="F40" s="128"/>
      <c r="G40" s="128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>
        <v>22555.454000000002</v>
      </c>
      <c r="AG40" s="294">
        <v>27832.904999999999</v>
      </c>
      <c r="AH40" s="294">
        <v>27832.904999999999</v>
      </c>
      <c r="AI40" s="295">
        <f t="shared" si="1"/>
        <v>22555.454000000002</v>
      </c>
      <c r="AJ40" s="295">
        <f t="shared" si="2"/>
        <v>27832.904999999999</v>
      </c>
      <c r="AK40" s="295">
        <f t="shared" si="5"/>
        <v>27832.904999999999</v>
      </c>
      <c r="AL40" s="295">
        <f t="shared" si="5"/>
        <v>27832.904999999999</v>
      </c>
      <c r="AM40" s="322">
        <f t="shared" si="4"/>
        <v>1</v>
      </c>
    </row>
    <row r="41" spans="1:39" x14ac:dyDescent="0.25">
      <c r="A41" s="284">
        <v>40</v>
      </c>
      <c r="B41" s="284">
        <v>124</v>
      </c>
      <c r="C41" s="284" t="s">
        <v>217</v>
      </c>
      <c r="D41" s="293" t="s">
        <v>334</v>
      </c>
      <c r="E41" s="128"/>
      <c r="F41" s="128"/>
      <c r="G41" s="128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>
        <v>63246.546000000002</v>
      </c>
      <c r="AG41" s="294">
        <v>63746.434999999998</v>
      </c>
      <c r="AH41" s="294">
        <v>63746.434999999998</v>
      </c>
      <c r="AI41" s="295">
        <f t="shared" si="1"/>
        <v>63246.546000000002</v>
      </c>
      <c r="AJ41" s="295">
        <f t="shared" si="2"/>
        <v>63746.434999999998</v>
      </c>
      <c r="AK41" s="295">
        <f t="shared" si="5"/>
        <v>63746.434999999998</v>
      </c>
      <c r="AL41" s="295">
        <f t="shared" si="5"/>
        <v>63746.434999999998</v>
      </c>
      <c r="AM41" s="322">
        <f t="shared" si="4"/>
        <v>1</v>
      </c>
    </row>
    <row r="42" spans="1:39" x14ac:dyDescent="0.25">
      <c r="A42" s="284">
        <v>41</v>
      </c>
      <c r="B42" s="284">
        <v>160</v>
      </c>
      <c r="C42" s="284" t="s">
        <v>217</v>
      </c>
      <c r="D42" s="293" t="s">
        <v>452</v>
      </c>
      <c r="E42" s="128"/>
      <c r="F42" s="128"/>
      <c r="G42" s="128"/>
      <c r="H42" s="294"/>
      <c r="I42" s="294"/>
      <c r="J42" s="294"/>
      <c r="K42" s="294"/>
      <c r="L42" s="294"/>
      <c r="M42" s="294"/>
      <c r="N42" s="294"/>
      <c r="O42" s="294"/>
      <c r="P42" s="294"/>
      <c r="Q42" s="294">
        <v>1767</v>
      </c>
      <c r="R42" s="294">
        <v>1767</v>
      </c>
      <c r="S42" s="294"/>
      <c r="T42" s="294">
        <v>104426</v>
      </c>
      <c r="U42" s="294">
        <v>94646.054999999993</v>
      </c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5">
        <f t="shared" si="1"/>
        <v>106193</v>
      </c>
      <c r="AJ42" s="295">
        <f t="shared" si="2"/>
        <v>96413.054999999993</v>
      </c>
      <c r="AK42" s="295">
        <f t="shared" si="5"/>
        <v>96413.054999999993</v>
      </c>
      <c r="AL42" s="295">
        <f t="shared" si="5"/>
        <v>0</v>
      </c>
      <c r="AM42" s="322">
        <f t="shared" si="4"/>
        <v>0</v>
      </c>
    </row>
    <row r="43" spans="1:39" x14ac:dyDescent="0.25">
      <c r="A43" s="284">
        <v>42</v>
      </c>
      <c r="B43" s="284">
        <v>159</v>
      </c>
      <c r="C43" s="284" t="s">
        <v>217</v>
      </c>
      <c r="D43" s="293" t="s">
        <v>453</v>
      </c>
      <c r="E43" s="128"/>
      <c r="F43" s="128"/>
      <c r="G43" s="128"/>
      <c r="H43" s="294"/>
      <c r="I43" s="294"/>
      <c r="J43" s="294"/>
      <c r="K43" s="294"/>
      <c r="L43" s="294"/>
      <c r="M43" s="294"/>
      <c r="N43" s="294"/>
      <c r="O43" s="294"/>
      <c r="P43" s="294"/>
      <c r="Q43" s="294">
        <v>685</v>
      </c>
      <c r="R43" s="294">
        <v>685</v>
      </c>
      <c r="S43" s="294"/>
      <c r="T43" s="294">
        <v>44082</v>
      </c>
      <c r="U43" s="294">
        <v>44082</v>
      </c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5">
        <f t="shared" si="1"/>
        <v>44767</v>
      </c>
      <c r="AJ43" s="295"/>
      <c r="AK43" s="295">
        <f t="shared" si="5"/>
        <v>44767</v>
      </c>
      <c r="AL43" s="295">
        <f t="shared" si="5"/>
        <v>0</v>
      </c>
      <c r="AM43" s="322">
        <f t="shared" si="4"/>
        <v>0</v>
      </c>
    </row>
    <row r="44" spans="1:39" x14ac:dyDescent="0.25">
      <c r="A44" s="284">
        <v>43</v>
      </c>
      <c r="B44" s="284">
        <v>145</v>
      </c>
      <c r="C44" s="284" t="s">
        <v>217</v>
      </c>
      <c r="D44" s="77" t="s">
        <v>340</v>
      </c>
      <c r="E44" s="128"/>
      <c r="F44" s="128"/>
      <c r="G44" s="128">
        <v>1.9E-2</v>
      </c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>
        <v>40964.417000000001</v>
      </c>
      <c r="AG44" s="294">
        <v>40964.417000000001</v>
      </c>
      <c r="AH44" s="294">
        <v>40964.417000000001</v>
      </c>
      <c r="AI44" s="295">
        <f t="shared" si="1"/>
        <v>40964.417000000001</v>
      </c>
      <c r="AJ44" s="295">
        <f t="shared" si="2"/>
        <v>40964.417000000001</v>
      </c>
      <c r="AK44" s="295">
        <f t="shared" si="5"/>
        <v>40964.417000000001</v>
      </c>
      <c r="AL44" s="295">
        <f t="shared" si="5"/>
        <v>40964.436000000002</v>
      </c>
      <c r="AM44" s="322">
        <f t="shared" si="4"/>
        <v>1.0000004638171709</v>
      </c>
    </row>
    <row r="45" spans="1:39" x14ac:dyDescent="0.25">
      <c r="A45" s="284">
        <v>44</v>
      </c>
      <c r="B45" s="284">
        <v>146</v>
      </c>
      <c r="C45" s="284" t="s">
        <v>217</v>
      </c>
      <c r="D45" s="77" t="s">
        <v>341</v>
      </c>
      <c r="E45" s="128"/>
      <c r="F45" s="128"/>
      <c r="G45" s="128">
        <v>0.104</v>
      </c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>
        <v>208214.476</v>
      </c>
      <c r="AG45" s="294">
        <v>208214.476</v>
      </c>
      <c r="AH45" s="294">
        <v>208214.476</v>
      </c>
      <c r="AI45" s="295">
        <f t="shared" si="1"/>
        <v>208214.476</v>
      </c>
      <c r="AJ45" s="295">
        <f t="shared" si="2"/>
        <v>208214.476</v>
      </c>
      <c r="AK45" s="295">
        <f t="shared" si="5"/>
        <v>208214.476</v>
      </c>
      <c r="AL45" s="295">
        <f t="shared" si="5"/>
        <v>208214.58</v>
      </c>
      <c r="AM45" s="322">
        <f t="shared" si="4"/>
        <v>1.0000004994849638</v>
      </c>
    </row>
    <row r="46" spans="1:39" x14ac:dyDescent="0.25">
      <c r="A46" s="284">
        <v>45</v>
      </c>
      <c r="B46" s="284">
        <v>147</v>
      </c>
      <c r="C46" s="284" t="s">
        <v>217</v>
      </c>
      <c r="D46" s="77" t="s">
        <v>343</v>
      </c>
      <c r="E46" s="128"/>
      <c r="F46" s="128"/>
      <c r="G46" s="128">
        <v>2.3E-2</v>
      </c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>
        <v>47680.023999999998</v>
      </c>
      <c r="AG46" s="294">
        <v>47680.023999999998</v>
      </c>
      <c r="AH46" s="294">
        <v>47680.023999999998</v>
      </c>
      <c r="AI46" s="295">
        <f t="shared" si="1"/>
        <v>47680.023999999998</v>
      </c>
      <c r="AJ46" s="295">
        <f t="shared" si="2"/>
        <v>47680.023999999998</v>
      </c>
      <c r="AK46" s="295">
        <f t="shared" si="5"/>
        <v>47680.023999999998</v>
      </c>
      <c r="AL46" s="295">
        <f t="shared" si="5"/>
        <v>47680.046999999999</v>
      </c>
      <c r="AM46" s="322">
        <f t="shared" si="4"/>
        <v>1.0000004823823077</v>
      </c>
    </row>
    <row r="47" spans="1:39" x14ac:dyDescent="0.25">
      <c r="A47" s="284">
        <v>46</v>
      </c>
      <c r="B47" s="284">
        <v>148</v>
      </c>
      <c r="C47" s="76" t="s">
        <v>217</v>
      </c>
      <c r="D47" s="77" t="s">
        <v>345</v>
      </c>
      <c r="E47" s="128"/>
      <c r="F47" s="128"/>
      <c r="G47" s="128"/>
      <c r="H47" s="294"/>
      <c r="I47" s="294"/>
      <c r="J47" s="294"/>
      <c r="K47" s="294"/>
      <c r="L47" s="294"/>
      <c r="M47" s="294"/>
      <c r="N47" s="294"/>
      <c r="O47" s="294"/>
      <c r="P47" s="294"/>
      <c r="Q47" s="294">
        <v>11355</v>
      </c>
      <c r="R47" s="294">
        <v>11355</v>
      </c>
      <c r="S47" s="294"/>
      <c r="T47" s="294">
        <v>159401</v>
      </c>
      <c r="U47" s="294">
        <v>159401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5">
        <f t="shared" si="1"/>
        <v>170756</v>
      </c>
      <c r="AJ47" s="295">
        <f t="shared" si="2"/>
        <v>170756</v>
      </c>
      <c r="AK47" s="295">
        <f t="shared" si="5"/>
        <v>170756</v>
      </c>
      <c r="AL47" s="295">
        <f t="shared" si="5"/>
        <v>0</v>
      </c>
      <c r="AM47" s="322">
        <f t="shared" si="4"/>
        <v>0</v>
      </c>
    </row>
    <row r="48" spans="1:39" x14ac:dyDescent="0.25">
      <c r="A48" s="284">
        <v>47</v>
      </c>
      <c r="B48" s="284">
        <v>150</v>
      </c>
      <c r="C48" s="76" t="s">
        <v>217</v>
      </c>
      <c r="D48" s="77" t="s">
        <v>346</v>
      </c>
      <c r="E48" s="128"/>
      <c r="F48" s="128"/>
      <c r="G48" s="128">
        <v>2.7E-2</v>
      </c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>
        <v>55156.603999999999</v>
      </c>
      <c r="AG48" s="294">
        <v>55156.603999999999</v>
      </c>
      <c r="AH48" s="294">
        <v>55156.603999999999</v>
      </c>
      <c r="AI48" s="295">
        <f t="shared" si="1"/>
        <v>55156.603999999999</v>
      </c>
      <c r="AJ48" s="295">
        <f t="shared" si="2"/>
        <v>55156.603999999999</v>
      </c>
      <c r="AK48" s="295">
        <f t="shared" si="5"/>
        <v>55156.603999999999</v>
      </c>
      <c r="AL48" s="295">
        <f t="shared" si="5"/>
        <v>55156.631000000001</v>
      </c>
      <c r="AM48" s="322">
        <f t="shared" si="4"/>
        <v>1.0000004895152719</v>
      </c>
    </row>
    <row r="49" spans="1:39" x14ac:dyDescent="0.25">
      <c r="A49" s="284">
        <v>48</v>
      </c>
      <c r="B49" s="284">
        <v>156</v>
      </c>
      <c r="C49" s="284" t="s">
        <v>217</v>
      </c>
      <c r="D49" s="77" t="s">
        <v>382</v>
      </c>
      <c r="E49" s="128"/>
      <c r="F49" s="128"/>
      <c r="G49" s="128">
        <v>0.01</v>
      </c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>
        <v>20156.232</v>
      </c>
      <c r="AG49" s="294">
        <v>20156.232</v>
      </c>
      <c r="AH49" s="294">
        <v>20156.232</v>
      </c>
      <c r="AI49" s="295">
        <f t="shared" si="1"/>
        <v>20156.232</v>
      </c>
      <c r="AJ49" s="295"/>
      <c r="AK49" s="295">
        <f t="shared" ref="AK49:AL50" si="10">F49+I49+L49+R49+U49+X49+AG49+AA49</f>
        <v>20156.232</v>
      </c>
      <c r="AL49" s="295">
        <f t="shared" si="10"/>
        <v>20156.241999999998</v>
      </c>
      <c r="AM49" s="322">
        <f t="shared" si="4"/>
        <v>1.0000004961244739</v>
      </c>
    </row>
    <row r="50" spans="1:39" x14ac:dyDescent="0.25">
      <c r="A50" s="284">
        <v>49</v>
      </c>
      <c r="B50" s="284">
        <v>154</v>
      </c>
      <c r="C50" s="284" t="s">
        <v>211</v>
      </c>
      <c r="D50" s="77" t="s">
        <v>377</v>
      </c>
      <c r="E50" s="128"/>
      <c r="F50" s="128"/>
      <c r="G50" s="128"/>
      <c r="H50" s="294"/>
      <c r="I50" s="294"/>
      <c r="J50" s="294"/>
      <c r="K50" s="294"/>
      <c r="L50" s="294">
        <v>1019</v>
      </c>
      <c r="M50" s="294">
        <v>463.94</v>
      </c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5">
        <f t="shared" si="1"/>
        <v>0</v>
      </c>
      <c r="AJ50" s="295"/>
      <c r="AK50" s="295">
        <f t="shared" si="10"/>
        <v>1019</v>
      </c>
      <c r="AL50" s="510">
        <f t="shared" si="10"/>
        <v>463.94</v>
      </c>
      <c r="AM50" s="322">
        <f t="shared" si="4"/>
        <v>0.45528949950932285</v>
      </c>
    </row>
    <row r="51" spans="1:39" x14ac:dyDescent="0.25">
      <c r="A51" s="284">
        <v>50</v>
      </c>
      <c r="B51" s="284">
        <v>161</v>
      </c>
      <c r="C51" s="284" t="s">
        <v>211</v>
      </c>
      <c r="D51" s="77" t="s">
        <v>454</v>
      </c>
      <c r="E51" s="128"/>
      <c r="F51" s="128"/>
      <c r="G51" s="128"/>
      <c r="H51" s="294"/>
      <c r="I51" s="294"/>
      <c r="J51" s="294"/>
      <c r="K51" s="294"/>
      <c r="L51" s="501">
        <v>794.11300000000006</v>
      </c>
      <c r="M51" s="501">
        <f>L51*0.52</f>
        <v>412.93876000000006</v>
      </c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5">
        <f t="shared" si="1"/>
        <v>0</v>
      </c>
      <c r="AJ51" s="295"/>
      <c r="AK51" s="295">
        <f>F51+I51+L51+R51+U51+X51+AG51+AA51+O51</f>
        <v>794.11300000000006</v>
      </c>
      <c r="AL51" s="509">
        <f>G51+J51+M51+S51+V51+Y51+AH51+AB51+P51</f>
        <v>412.93876000000006</v>
      </c>
      <c r="AM51" s="322">
        <f t="shared" si="4"/>
        <v>0.52</v>
      </c>
    </row>
    <row r="52" spans="1:39" x14ac:dyDescent="0.25">
      <c r="A52" s="284">
        <v>51</v>
      </c>
      <c r="B52" s="284">
        <v>153</v>
      </c>
      <c r="C52" s="284" t="s">
        <v>211</v>
      </c>
      <c r="D52" s="77" t="s">
        <v>455</v>
      </c>
      <c r="E52" s="128"/>
      <c r="F52" s="128"/>
      <c r="G52" s="128"/>
      <c r="H52" s="294"/>
      <c r="I52" s="294"/>
      <c r="J52" s="294"/>
      <c r="K52" s="294"/>
      <c r="L52" s="500">
        <v>6042</v>
      </c>
      <c r="M52" s="500">
        <f>L52*0.52</f>
        <v>3141.84</v>
      </c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5">
        <f t="shared" si="1"/>
        <v>0</v>
      </c>
      <c r="AJ52" s="295"/>
      <c r="AK52" s="295">
        <f t="shared" ref="AK52:AK58" si="11">F52+I52+L52+R52+U52+X52+AG52+AA52+O52</f>
        <v>6042</v>
      </c>
      <c r="AL52" s="508">
        <f t="shared" ref="AL52:AL58" si="12">G52+J52+M52+S52+V52+Y52+AH52+AB52+P52</f>
        <v>3141.84</v>
      </c>
      <c r="AM52" s="322">
        <f t="shared" si="4"/>
        <v>0.52</v>
      </c>
    </row>
    <row r="53" spans="1:39" x14ac:dyDescent="0.25">
      <c r="A53" s="284">
        <v>52</v>
      </c>
      <c r="B53" s="284">
        <v>153</v>
      </c>
      <c r="C53" s="284" t="s">
        <v>217</v>
      </c>
      <c r="D53" s="77" t="s">
        <v>455</v>
      </c>
      <c r="E53" s="128"/>
      <c r="F53" s="128"/>
      <c r="G53" s="128"/>
      <c r="H53" s="294"/>
      <c r="I53" s="294"/>
      <c r="J53" s="294"/>
      <c r="K53" s="294"/>
      <c r="L53" s="500">
        <v>6292</v>
      </c>
      <c r="M53" s="500">
        <f>L53*0.52</f>
        <v>3271.84</v>
      </c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5">
        <f t="shared" si="1"/>
        <v>0</v>
      </c>
      <c r="AJ53" s="295"/>
      <c r="AK53" s="295">
        <f t="shared" si="11"/>
        <v>6292</v>
      </c>
      <c r="AL53" s="508">
        <f t="shared" si="12"/>
        <v>3271.84</v>
      </c>
      <c r="AM53" s="322">
        <f t="shared" si="4"/>
        <v>0.52</v>
      </c>
    </row>
    <row r="54" spans="1:39" x14ac:dyDescent="0.25">
      <c r="A54" s="284">
        <v>53</v>
      </c>
      <c r="B54" s="284"/>
      <c r="C54" s="284" t="s">
        <v>211</v>
      </c>
      <c r="D54" s="77" t="s">
        <v>456</v>
      </c>
      <c r="E54" s="128"/>
      <c r="F54" s="128"/>
      <c r="G54" s="128"/>
      <c r="H54" s="294"/>
      <c r="I54" s="294"/>
      <c r="J54" s="294"/>
      <c r="K54" s="294"/>
      <c r="L54" s="294">
        <v>636.4</v>
      </c>
      <c r="M54" s="294">
        <v>636.4</v>
      </c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5">
        <f t="shared" si="1"/>
        <v>0</v>
      </c>
      <c r="AJ54" s="295"/>
      <c r="AK54" s="295">
        <f t="shared" si="11"/>
        <v>636.4</v>
      </c>
      <c r="AL54" s="510">
        <f t="shared" si="12"/>
        <v>636.4</v>
      </c>
      <c r="AM54" s="322">
        <f t="shared" si="4"/>
        <v>1</v>
      </c>
    </row>
    <row r="55" spans="1:39" x14ac:dyDescent="0.25">
      <c r="A55" s="284">
        <v>54</v>
      </c>
      <c r="B55" s="284">
        <v>169</v>
      </c>
      <c r="C55" s="284" t="s">
        <v>211</v>
      </c>
      <c r="D55" s="77" t="s">
        <v>457</v>
      </c>
      <c r="E55" s="128"/>
      <c r="F55" s="128"/>
      <c r="G55" s="128"/>
      <c r="H55" s="294"/>
      <c r="I55" s="294"/>
      <c r="J55" s="294"/>
      <c r="K55" s="294"/>
      <c r="L55" s="294">
        <v>185.804</v>
      </c>
      <c r="M55" s="294">
        <v>185.804</v>
      </c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5">
        <f t="shared" si="1"/>
        <v>0</v>
      </c>
      <c r="AJ55" s="295"/>
      <c r="AK55" s="295">
        <f t="shared" si="11"/>
        <v>185.804</v>
      </c>
      <c r="AL55" s="510">
        <f t="shared" si="12"/>
        <v>185.804</v>
      </c>
      <c r="AM55" s="322">
        <f t="shared" si="4"/>
        <v>1</v>
      </c>
    </row>
    <row r="56" spans="1:39" x14ac:dyDescent="0.25">
      <c r="A56" s="284">
        <v>55</v>
      </c>
      <c r="B56" s="284"/>
      <c r="C56" s="284" t="s">
        <v>211</v>
      </c>
      <c r="D56" s="77" t="s">
        <v>458</v>
      </c>
      <c r="E56" s="128"/>
      <c r="F56" s="128"/>
      <c r="G56" s="128"/>
      <c r="H56" s="294"/>
      <c r="I56" s="294"/>
      <c r="J56" s="294"/>
      <c r="K56" s="294"/>
      <c r="L56" s="294">
        <v>669.92499999999995</v>
      </c>
      <c r="M56" s="294">
        <v>669.92499999999995</v>
      </c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5">
        <f t="shared" si="1"/>
        <v>0</v>
      </c>
      <c r="AJ56" s="295"/>
      <c r="AK56" s="295">
        <f t="shared" si="11"/>
        <v>669.92499999999995</v>
      </c>
      <c r="AL56" s="510">
        <f t="shared" si="12"/>
        <v>669.92499999999995</v>
      </c>
      <c r="AM56" s="322">
        <f t="shared" si="4"/>
        <v>1</v>
      </c>
    </row>
    <row r="57" spans="1:39" x14ac:dyDescent="0.25">
      <c r="A57" s="284">
        <v>56</v>
      </c>
      <c r="B57" s="284">
        <v>149</v>
      </c>
      <c r="C57" s="284" t="s">
        <v>217</v>
      </c>
      <c r="D57" s="77" t="s">
        <v>459</v>
      </c>
      <c r="E57" s="128"/>
      <c r="F57" s="128"/>
      <c r="G57" s="128">
        <v>5.0000000000000001E-3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>
        <v>15352.2</v>
      </c>
      <c r="S57" s="294">
        <v>15352.2</v>
      </c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5">
        <f t="shared" si="1"/>
        <v>0</v>
      </c>
      <c r="AJ57" s="295"/>
      <c r="AK57" s="295">
        <f t="shared" si="11"/>
        <v>15352.2</v>
      </c>
      <c r="AL57" s="295">
        <f t="shared" si="12"/>
        <v>15352.205</v>
      </c>
      <c r="AM57" s="322">
        <f t="shared" si="4"/>
        <v>1.0000003256862209</v>
      </c>
    </row>
    <row r="58" spans="1:39" x14ac:dyDescent="0.25">
      <c r="A58" s="284">
        <v>57</v>
      </c>
      <c r="B58" s="284">
        <v>115</v>
      </c>
      <c r="C58" s="284" t="s">
        <v>217</v>
      </c>
      <c r="D58" s="77" t="s">
        <v>460</v>
      </c>
      <c r="E58" s="128"/>
      <c r="F58" s="128"/>
      <c r="G58" s="128">
        <v>3.0000000000000001E-3</v>
      </c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>
        <v>9394.2999999999993</v>
      </c>
      <c r="S58" s="294">
        <v>8124.3</v>
      </c>
      <c r="T58" s="294"/>
      <c r="U58" s="294"/>
      <c r="V58" s="294">
        <v>1270</v>
      </c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5">
        <f t="shared" si="1"/>
        <v>0</v>
      </c>
      <c r="AJ58" s="295"/>
      <c r="AK58" s="295">
        <f t="shared" si="11"/>
        <v>9394.2999999999993</v>
      </c>
      <c r="AL58" s="295">
        <f t="shared" si="12"/>
        <v>9394.3029999999999</v>
      </c>
      <c r="AM58" s="322">
        <f t="shared" si="4"/>
        <v>1.0000003193425802</v>
      </c>
    </row>
    <row r="59" spans="1:39" x14ac:dyDescent="0.25">
      <c r="A59" s="284">
        <v>58</v>
      </c>
      <c r="B59" s="284">
        <v>143</v>
      </c>
      <c r="C59" s="284" t="s">
        <v>211</v>
      </c>
      <c r="D59" s="293" t="s">
        <v>237</v>
      </c>
      <c r="E59" s="128">
        <v>748</v>
      </c>
      <c r="F59" s="128">
        <v>748</v>
      </c>
      <c r="G59" s="128">
        <v>290.56299999999999</v>
      </c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5">
        <f t="shared" si="1"/>
        <v>748</v>
      </c>
      <c r="AJ59" s="295">
        <f t="shared" si="2"/>
        <v>748</v>
      </c>
      <c r="AK59" s="295">
        <f t="shared" si="5"/>
        <v>748</v>
      </c>
      <c r="AL59" s="295">
        <f t="shared" si="5"/>
        <v>290.56299999999999</v>
      </c>
      <c r="AM59" s="322">
        <f t="shared" si="4"/>
        <v>0.38845320855614973</v>
      </c>
    </row>
    <row r="60" spans="1:39" x14ac:dyDescent="0.25">
      <c r="A60" s="284">
        <v>59</v>
      </c>
      <c r="B60" s="284">
        <v>144</v>
      </c>
      <c r="C60" s="302" t="s">
        <v>211</v>
      </c>
      <c r="D60" s="293" t="s">
        <v>238</v>
      </c>
      <c r="E60" s="128">
        <v>4009</v>
      </c>
      <c r="F60" s="128">
        <v>4009</v>
      </c>
      <c r="G60" s="128">
        <v>2751.9250000000002</v>
      </c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5">
        <f t="shared" si="1"/>
        <v>4009</v>
      </c>
      <c r="AJ60" s="295">
        <f t="shared" si="2"/>
        <v>4009</v>
      </c>
      <c r="AK60" s="295">
        <f t="shared" si="5"/>
        <v>4009</v>
      </c>
      <c r="AL60" s="295">
        <f t="shared" si="5"/>
        <v>2751.9250000000002</v>
      </c>
      <c r="AM60" s="322">
        <f t="shared" si="4"/>
        <v>0.68643676727363434</v>
      </c>
    </row>
    <row r="61" spans="1:39" ht="15.75" x14ac:dyDescent="0.25">
      <c r="A61" s="284">
        <v>60</v>
      </c>
      <c r="B61" s="284"/>
      <c r="C61" s="284"/>
      <c r="D61" s="286" t="s">
        <v>239</v>
      </c>
      <c r="E61" s="295">
        <f t="shared" ref="E61:AD61" si="13">SUM(E5:E60)</f>
        <v>23257</v>
      </c>
      <c r="F61" s="295">
        <f t="shared" si="13"/>
        <v>23257</v>
      </c>
      <c r="G61" s="505">
        <f t="shared" si="13"/>
        <v>14443.684000000001</v>
      </c>
      <c r="H61" s="295">
        <f t="shared" si="13"/>
        <v>102821</v>
      </c>
      <c r="I61" s="295">
        <f t="shared" si="13"/>
        <v>102821</v>
      </c>
      <c r="J61" s="505">
        <f>SUM(J5:J60)</f>
        <v>51277.287000000011</v>
      </c>
      <c r="K61" s="295">
        <f t="shared" si="13"/>
        <v>299157.57900000003</v>
      </c>
      <c r="L61" s="295">
        <f t="shared" si="13"/>
        <v>314796.82100000005</v>
      </c>
      <c r="M61" s="505">
        <f t="shared" si="13"/>
        <v>162766.01878519997</v>
      </c>
      <c r="N61" s="295">
        <f t="shared" si="13"/>
        <v>15000</v>
      </c>
      <c r="O61" s="295">
        <f t="shared" si="13"/>
        <v>15000</v>
      </c>
      <c r="P61" s="505">
        <f t="shared" si="13"/>
        <v>15000</v>
      </c>
      <c r="Q61" s="295">
        <f t="shared" si="13"/>
        <v>130742</v>
      </c>
      <c r="R61" s="295">
        <f t="shared" si="13"/>
        <v>155488.5</v>
      </c>
      <c r="S61" s="505">
        <f t="shared" si="13"/>
        <v>77768.161000000007</v>
      </c>
      <c r="T61" s="295">
        <f t="shared" si="13"/>
        <v>307909</v>
      </c>
      <c r="U61" s="295">
        <f t="shared" si="13"/>
        <v>298129.05499999999</v>
      </c>
      <c r="V61" s="505">
        <f t="shared" si="13"/>
        <v>1270</v>
      </c>
      <c r="W61" s="295">
        <f t="shared" si="13"/>
        <v>0</v>
      </c>
      <c r="X61" s="295">
        <f t="shared" si="13"/>
        <v>0</v>
      </c>
      <c r="Y61" s="295">
        <f t="shared" si="13"/>
        <v>0</v>
      </c>
      <c r="Z61" s="295">
        <f t="shared" si="13"/>
        <v>0</v>
      </c>
      <c r="AA61" s="295">
        <f t="shared" si="13"/>
        <v>0</v>
      </c>
      <c r="AB61" s="295">
        <f t="shared" si="13"/>
        <v>0</v>
      </c>
      <c r="AC61" s="295">
        <f t="shared" si="13"/>
        <v>0</v>
      </c>
      <c r="AD61" s="295">
        <f t="shared" si="13"/>
        <v>0</v>
      </c>
      <c r="AE61" s="295">
        <f>SUM(AE37:AE60)</f>
        <v>0</v>
      </c>
      <c r="AF61" s="295">
        <f t="shared" ref="AF61:AL61" si="14">SUM(AF5:AF60)</f>
        <v>457973.75299999997</v>
      </c>
      <c r="AG61" s="295">
        <f t="shared" si="14"/>
        <v>463751.09299999999</v>
      </c>
      <c r="AH61" s="505">
        <f t="shared" si="14"/>
        <v>463751.09299999999</v>
      </c>
      <c r="AI61" s="295">
        <f t="shared" si="14"/>
        <v>1336860.3320000002</v>
      </c>
      <c r="AJ61" s="295">
        <f t="shared" si="14"/>
        <v>1217756.365</v>
      </c>
      <c r="AK61" s="295">
        <f t="shared" si="14"/>
        <v>1373243.469</v>
      </c>
      <c r="AL61" s="505">
        <f t="shared" si="14"/>
        <v>786276.24378519994</v>
      </c>
      <c r="AM61" s="322">
        <f t="shared" si="4"/>
        <v>0.57256871161948331</v>
      </c>
    </row>
    <row r="62" spans="1:39" x14ac:dyDescent="0.25">
      <c r="A62" s="284">
        <v>61</v>
      </c>
      <c r="B62" s="284"/>
      <c r="C62" s="284"/>
      <c r="D62" s="296" t="s">
        <v>240</v>
      </c>
      <c r="E62" s="303">
        <f t="shared" ref="E62:J62" si="15">SUMIF($C5:$C60,"kötelező",E5:E60)</f>
        <v>20757</v>
      </c>
      <c r="F62" s="303">
        <f t="shared" si="15"/>
        <v>20757</v>
      </c>
      <c r="G62" s="303">
        <f t="shared" si="15"/>
        <v>13760.133000000002</v>
      </c>
      <c r="H62" s="303">
        <f t="shared" si="15"/>
        <v>102821</v>
      </c>
      <c r="I62" s="303">
        <f t="shared" si="15"/>
        <v>102821</v>
      </c>
      <c r="J62" s="303">
        <f t="shared" si="15"/>
        <v>51277.287000000011</v>
      </c>
      <c r="K62" s="303">
        <f>SUMIF($C5:$C60,"kötelező",K5:K60)-7170</f>
        <v>257157.57900000003</v>
      </c>
      <c r="L62" s="303">
        <f>SUMIF($C5:$C60,"kötelező",L5:L60)-7170</f>
        <v>266504.82100000005</v>
      </c>
      <c r="M62" s="303">
        <f>SUMIF($C5:$C60,"kötelező",M5:M60)-3674.44</f>
        <v>137708.13878519996</v>
      </c>
      <c r="N62" s="303">
        <f>SUMIF($C5:$C60,"kötelező",N5:N60)</f>
        <v>0</v>
      </c>
      <c r="O62" s="303">
        <f>SUMIF($C5:$C60,"kötelező",$O5:$O60)</f>
        <v>0</v>
      </c>
      <c r="P62" s="303">
        <f>SUMIF($C5:$C60,"kötelező",$P5:$P60)</f>
        <v>0</v>
      </c>
      <c r="Q62" s="303">
        <f t="shared" ref="Q62:AF62" si="16">SUMIF($C5:$C60,"kötelező",Q5:Q60)</f>
        <v>114373</v>
      </c>
      <c r="R62" s="303">
        <f t="shared" si="16"/>
        <v>114373</v>
      </c>
      <c r="S62" s="303">
        <f t="shared" si="16"/>
        <v>53435.519</v>
      </c>
      <c r="T62" s="303">
        <f t="shared" si="16"/>
        <v>0</v>
      </c>
      <c r="U62" s="303">
        <f t="shared" si="16"/>
        <v>0</v>
      </c>
      <c r="V62" s="303">
        <f t="shared" si="16"/>
        <v>0</v>
      </c>
      <c r="W62" s="303">
        <f t="shared" si="16"/>
        <v>0</v>
      </c>
      <c r="X62" s="303">
        <f t="shared" si="16"/>
        <v>0</v>
      </c>
      <c r="Y62" s="303">
        <f t="shared" si="16"/>
        <v>0</v>
      </c>
      <c r="Z62" s="303">
        <f t="shared" si="16"/>
        <v>0</v>
      </c>
      <c r="AA62" s="303">
        <f t="shared" si="16"/>
        <v>0</v>
      </c>
      <c r="AB62" s="303">
        <f t="shared" si="16"/>
        <v>0</v>
      </c>
      <c r="AC62" s="303">
        <f t="shared" si="16"/>
        <v>0</v>
      </c>
      <c r="AD62" s="303">
        <f t="shared" si="16"/>
        <v>0</v>
      </c>
      <c r="AE62" s="303">
        <f t="shared" si="16"/>
        <v>0</v>
      </c>
      <c r="AF62" s="303">
        <f t="shared" si="16"/>
        <v>22555.454000000002</v>
      </c>
      <c r="AG62" s="303">
        <f t="shared" ref="AG62:AH62" si="17">SUMIF($C5:$C60,"kötelező",AG5:AG60)</f>
        <v>27832.904999999999</v>
      </c>
      <c r="AH62" s="303">
        <f t="shared" si="17"/>
        <v>27832.904999999999</v>
      </c>
      <c r="AI62" s="303">
        <f>E62+H62+K62+Q62+T62+W62+AF62</f>
        <v>517664.03300000005</v>
      </c>
      <c r="AJ62" s="303">
        <f t="shared" ref="AJ62" si="18">F62+I62+L62+R62+U62+X62+AG62</f>
        <v>532288.72600000002</v>
      </c>
      <c r="AK62" s="303">
        <f>F62+I62+L62+R62+U62+X62+AG62+AA62+O62</f>
        <v>532288.72600000002</v>
      </c>
      <c r="AL62" s="303">
        <f>G62+J62+M62+S62+V62+Y62+AH62+AB62+P62+AE62</f>
        <v>284013.9827852</v>
      </c>
      <c r="AM62" s="320">
        <f t="shared" si="4"/>
        <v>0.53357129112894264</v>
      </c>
    </row>
    <row r="63" spans="1:39" x14ac:dyDescent="0.25">
      <c r="A63" s="284">
        <v>62</v>
      </c>
      <c r="B63" s="284"/>
      <c r="C63" s="284"/>
      <c r="D63" s="296" t="s">
        <v>309</v>
      </c>
      <c r="E63" s="303"/>
      <c r="F63" s="303"/>
      <c r="G63" s="303"/>
      <c r="H63" s="303"/>
      <c r="I63" s="303"/>
      <c r="J63" s="303"/>
      <c r="K63" s="303">
        <v>7170</v>
      </c>
      <c r="L63" s="303">
        <v>7170</v>
      </c>
      <c r="M63" s="303">
        <v>3674.44</v>
      </c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>
        <f t="shared" ref="AI63" si="19">E63+H63+K63+Q63+T63+W63+AF63</f>
        <v>7170</v>
      </c>
      <c r="AJ63" s="303">
        <v>5525</v>
      </c>
      <c r="AK63" s="303">
        <f t="shared" ref="AK63:AL64" si="20">F63+I63+L63+R63+U63+X63+AG63+AA63+O63</f>
        <v>7170</v>
      </c>
      <c r="AL63" s="303">
        <f t="shared" si="20"/>
        <v>3674.44</v>
      </c>
      <c r="AM63" s="320">
        <f t="shared" si="4"/>
        <v>0.51247419804741978</v>
      </c>
    </row>
    <row r="64" spans="1:39" x14ac:dyDescent="0.25">
      <c r="A64" s="284">
        <v>63</v>
      </c>
      <c r="B64" s="284"/>
      <c r="C64" s="296"/>
      <c r="D64" s="296" t="s">
        <v>241</v>
      </c>
      <c r="E64" s="303">
        <f t="shared" ref="E64:O64" si="21">SUMIF($C5:$C60,"nem kötelező",E5:E60)</f>
        <v>2500</v>
      </c>
      <c r="F64" s="303">
        <f t="shared" si="21"/>
        <v>2500</v>
      </c>
      <c r="G64" s="303">
        <f t="shared" si="21"/>
        <v>683.55100000000016</v>
      </c>
      <c r="H64" s="303">
        <f t="shared" si="21"/>
        <v>0</v>
      </c>
      <c r="I64" s="303">
        <f t="shared" si="21"/>
        <v>0</v>
      </c>
      <c r="J64" s="303">
        <f t="shared" si="21"/>
        <v>0</v>
      </c>
      <c r="K64" s="303">
        <f t="shared" si="21"/>
        <v>34830</v>
      </c>
      <c r="L64" s="303">
        <f t="shared" si="21"/>
        <v>41122</v>
      </c>
      <c r="M64" s="303">
        <f t="shared" si="21"/>
        <v>21383.440000000002</v>
      </c>
      <c r="N64" s="303">
        <f t="shared" si="21"/>
        <v>15000</v>
      </c>
      <c r="O64" s="303">
        <f t="shared" si="21"/>
        <v>15000</v>
      </c>
      <c r="P64" s="303">
        <f>SUMIF($C5:$C60,"nem kötelező",$P5:$P60)</f>
        <v>15000</v>
      </c>
      <c r="Q64" s="303">
        <f t="shared" ref="Q64:AE64" si="22">SUMIF($C5:$C60,"nem kötelező",Q5:Q60)</f>
        <v>16369</v>
      </c>
      <c r="R64" s="303">
        <f t="shared" si="22"/>
        <v>41115.5</v>
      </c>
      <c r="S64" s="303">
        <f t="shared" si="22"/>
        <v>24332.642</v>
      </c>
      <c r="T64" s="303">
        <f t="shared" si="22"/>
        <v>307909</v>
      </c>
      <c r="U64" s="303">
        <f t="shared" si="22"/>
        <v>298129.05499999999</v>
      </c>
      <c r="V64" s="303">
        <f t="shared" si="22"/>
        <v>1270</v>
      </c>
      <c r="W64" s="303">
        <f t="shared" si="22"/>
        <v>0</v>
      </c>
      <c r="X64" s="303">
        <f t="shared" si="22"/>
        <v>0</v>
      </c>
      <c r="Y64" s="303">
        <f t="shared" si="22"/>
        <v>0</v>
      </c>
      <c r="Z64" s="303">
        <f t="shared" si="22"/>
        <v>0</v>
      </c>
      <c r="AA64" s="303">
        <f t="shared" si="22"/>
        <v>0</v>
      </c>
      <c r="AB64" s="303">
        <f t="shared" si="22"/>
        <v>0</v>
      </c>
      <c r="AC64" s="303">
        <f t="shared" si="22"/>
        <v>0</v>
      </c>
      <c r="AD64" s="303">
        <f t="shared" si="22"/>
        <v>0</v>
      </c>
      <c r="AE64" s="303">
        <f t="shared" si="22"/>
        <v>0</v>
      </c>
      <c r="AF64" s="303">
        <f t="shared" ref="AF64:AH64" si="23">SUMIF($C5:$C60,"nem kötelező",AF5:AF60)</f>
        <v>435418.299</v>
      </c>
      <c r="AG64" s="303">
        <f t="shared" si="23"/>
        <v>435918.18799999997</v>
      </c>
      <c r="AH64" s="303">
        <f t="shared" si="23"/>
        <v>435918.18799999997</v>
      </c>
      <c r="AI64" s="303">
        <f>E64+H64+K64+Q64+T64+W64+AF64+N64</f>
        <v>812026.299</v>
      </c>
      <c r="AJ64" s="303">
        <f>SUMIF($C5:$C60,"nem kötelező",AJ5:AJ60)+92025.911-10610.254</f>
        <v>784408.66800000006</v>
      </c>
      <c r="AK64" s="303">
        <f>F64+I64+L64+R64+U64+X64+AG64+AA64+O64</f>
        <v>833784.74300000002</v>
      </c>
      <c r="AL64" s="303">
        <f t="shared" si="20"/>
        <v>498587.821</v>
      </c>
      <c r="AM64" s="320">
        <f t="shared" si="4"/>
        <v>0.59798146366417737</v>
      </c>
    </row>
    <row r="65" spans="1:39" s="292" customFormat="1" x14ac:dyDescent="0.25">
      <c r="A65" s="284">
        <v>64</v>
      </c>
      <c r="B65" s="284"/>
      <c r="C65" s="287"/>
      <c r="D65" s="304" t="s">
        <v>319</v>
      </c>
      <c r="E65" s="305">
        <f t="shared" ref="E65:J65" si="24">SUM(E66:E68)</f>
        <v>338.1</v>
      </c>
      <c r="F65" s="305">
        <f t="shared" si="24"/>
        <v>338.1</v>
      </c>
      <c r="G65" s="305">
        <f t="shared" si="24"/>
        <v>200.774</v>
      </c>
      <c r="H65" s="305">
        <f t="shared" si="24"/>
        <v>0</v>
      </c>
      <c r="I65" s="305">
        <f t="shared" si="24"/>
        <v>0</v>
      </c>
      <c r="J65" s="305">
        <f t="shared" si="24"/>
        <v>0</v>
      </c>
      <c r="K65" s="305">
        <f t="shared" ref="K65:AK65" si="25">SUM(K66:K68)</f>
        <v>0</v>
      </c>
      <c r="L65" s="305">
        <f t="shared" si="25"/>
        <v>0</v>
      </c>
      <c r="M65" s="305">
        <f t="shared" si="25"/>
        <v>0</v>
      </c>
      <c r="N65" s="305">
        <f t="shared" si="25"/>
        <v>0</v>
      </c>
      <c r="O65" s="305">
        <f t="shared" si="25"/>
        <v>0</v>
      </c>
      <c r="P65" s="305">
        <f t="shared" si="25"/>
        <v>0</v>
      </c>
      <c r="Q65" s="305">
        <f t="shared" si="25"/>
        <v>0</v>
      </c>
      <c r="R65" s="305">
        <f t="shared" si="25"/>
        <v>1153.3989999999999</v>
      </c>
      <c r="S65" s="305">
        <f t="shared" si="25"/>
        <v>1165.1579999999999</v>
      </c>
      <c r="T65" s="305">
        <f t="shared" si="25"/>
        <v>0</v>
      </c>
      <c r="U65" s="305">
        <f t="shared" si="25"/>
        <v>0</v>
      </c>
      <c r="V65" s="305">
        <f t="shared" si="25"/>
        <v>0</v>
      </c>
      <c r="W65" s="305">
        <f t="shared" si="25"/>
        <v>0</v>
      </c>
      <c r="X65" s="305">
        <f t="shared" si="25"/>
        <v>0</v>
      </c>
      <c r="Y65" s="305">
        <f t="shared" si="25"/>
        <v>0</v>
      </c>
      <c r="Z65" s="305">
        <f t="shared" si="25"/>
        <v>0</v>
      </c>
      <c r="AA65" s="305">
        <f t="shared" si="25"/>
        <v>0</v>
      </c>
      <c r="AB65" s="305">
        <f t="shared" si="25"/>
        <v>0</v>
      </c>
      <c r="AC65" s="305">
        <f t="shared" si="25"/>
        <v>0</v>
      </c>
      <c r="AD65" s="305">
        <f t="shared" si="25"/>
        <v>0</v>
      </c>
      <c r="AE65" s="305">
        <f t="shared" si="25"/>
        <v>0</v>
      </c>
      <c r="AF65" s="305">
        <f t="shared" si="25"/>
        <v>0</v>
      </c>
      <c r="AG65" s="305">
        <f t="shared" si="25"/>
        <v>371.66399999999999</v>
      </c>
      <c r="AH65" s="305">
        <f t="shared" si="25"/>
        <v>371.66399999999999</v>
      </c>
      <c r="AI65" s="305">
        <f t="shared" si="25"/>
        <v>338.1</v>
      </c>
      <c r="AJ65" s="305">
        <f t="shared" si="25"/>
        <v>1863.1629999999998</v>
      </c>
      <c r="AK65" s="305">
        <f t="shared" si="25"/>
        <v>1863.1629999999998</v>
      </c>
      <c r="AL65" s="305">
        <f t="shared" ref="AL65" si="26">SUM(AL66:AL68)</f>
        <v>1737.5959999999998</v>
      </c>
      <c r="AM65" s="322">
        <f t="shared" si="4"/>
        <v>0.93260546715451087</v>
      </c>
    </row>
    <row r="66" spans="1:39" x14ac:dyDescent="0.25">
      <c r="A66" s="284">
        <v>65</v>
      </c>
      <c r="B66" s="284"/>
      <c r="C66" s="284" t="s">
        <v>211</v>
      </c>
      <c r="D66" s="307" t="s">
        <v>242</v>
      </c>
      <c r="E66" s="308">
        <v>338.1</v>
      </c>
      <c r="F66" s="308">
        <v>338.1</v>
      </c>
      <c r="G66" s="308">
        <v>200.774</v>
      </c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>
        <v>1153.3989999999999</v>
      </c>
      <c r="S66" s="308">
        <v>1165.1579999999999</v>
      </c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>
        <v>371.66399999999999</v>
      </c>
      <c r="AH66" s="308">
        <v>371.66399999999999</v>
      </c>
      <c r="AI66" s="309">
        <f>E66+H66+K66+Q66+T66+W66+AF66</f>
        <v>338.1</v>
      </c>
      <c r="AJ66" s="309">
        <f t="shared" ref="AJ66" si="27">F66+I66+L66+R66+U66+X66+AG66</f>
        <v>1863.1629999999998</v>
      </c>
      <c r="AK66" s="309">
        <f>F66+I66+L66+R66+U66+X66+AG66</f>
        <v>1863.1629999999998</v>
      </c>
      <c r="AL66" s="309">
        <f>G66+J66+M66+S66+V66+Y66+AH66</f>
        <v>1737.5959999999998</v>
      </c>
      <c r="AM66" s="320">
        <f t="shared" si="4"/>
        <v>0.93260546715451087</v>
      </c>
    </row>
    <row r="67" spans="1:39" x14ac:dyDescent="0.25">
      <c r="A67" s="284">
        <v>66</v>
      </c>
      <c r="B67" s="284"/>
      <c r="C67" s="284" t="s">
        <v>217</v>
      </c>
      <c r="D67" s="307" t="s">
        <v>243</v>
      </c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9">
        <f t="shared" ref="AI67:AI68" si="28">E67+H67+K67+Q67+T67+W67+AF67</f>
        <v>0</v>
      </c>
      <c r="AJ67" s="310"/>
      <c r="AK67" s="309">
        <f t="shared" ref="AK67:AK68" si="29">F67+I67+L67+R67+U67+X67+AG67</f>
        <v>0</v>
      </c>
      <c r="AL67" s="309">
        <f t="shared" ref="AL67:AL68" si="30">G67+J67+M67+S67+V67+Y67+AH67</f>
        <v>0</v>
      </c>
      <c r="AM67" s="322"/>
    </row>
    <row r="68" spans="1:39" x14ac:dyDescent="0.25">
      <c r="A68" s="284">
        <v>67</v>
      </c>
      <c r="B68" s="284"/>
      <c r="C68" s="284" t="s">
        <v>318</v>
      </c>
      <c r="D68" s="307" t="s">
        <v>309</v>
      </c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9">
        <f t="shared" si="28"/>
        <v>0</v>
      </c>
      <c r="AJ68" s="310"/>
      <c r="AK68" s="309">
        <f t="shared" si="29"/>
        <v>0</v>
      </c>
      <c r="AL68" s="309">
        <f t="shared" si="30"/>
        <v>0</v>
      </c>
      <c r="AM68" s="322"/>
    </row>
    <row r="69" spans="1:39" s="292" customFormat="1" x14ac:dyDescent="0.25">
      <c r="A69" s="284">
        <v>68</v>
      </c>
      <c r="B69" s="284"/>
      <c r="C69" s="287"/>
      <c r="D69" s="304" t="s">
        <v>244</v>
      </c>
      <c r="E69" s="305">
        <f>SUM(E70:E71)</f>
        <v>305.10000000000002</v>
      </c>
      <c r="F69" s="305">
        <f>SUM(F70:F71)</f>
        <v>305.10000000000002</v>
      </c>
      <c r="G69" s="305">
        <f>SUM(G70:G71)</f>
        <v>302.96199999999999</v>
      </c>
      <c r="H69" s="305">
        <f t="shared" ref="H69:AK69" si="31">SUM(H70:H71)</f>
        <v>0</v>
      </c>
      <c r="I69" s="305">
        <f t="shared" si="31"/>
        <v>0</v>
      </c>
      <c r="J69" s="305">
        <f t="shared" si="31"/>
        <v>0</v>
      </c>
      <c r="K69" s="305">
        <f t="shared" si="31"/>
        <v>0</v>
      </c>
      <c r="L69" s="305">
        <f t="shared" si="31"/>
        <v>0</v>
      </c>
      <c r="M69" s="305">
        <f t="shared" si="31"/>
        <v>0</v>
      </c>
      <c r="N69" s="305">
        <f t="shared" si="31"/>
        <v>0</v>
      </c>
      <c r="O69" s="305">
        <f t="shared" si="31"/>
        <v>0</v>
      </c>
      <c r="P69" s="305">
        <f t="shared" si="31"/>
        <v>0</v>
      </c>
      <c r="Q69" s="305">
        <f t="shared" si="31"/>
        <v>0</v>
      </c>
      <c r="R69" s="305">
        <f t="shared" si="31"/>
        <v>0</v>
      </c>
      <c r="S69" s="305">
        <f t="shared" si="31"/>
        <v>0</v>
      </c>
      <c r="T69" s="305">
        <f t="shared" si="31"/>
        <v>0</v>
      </c>
      <c r="U69" s="305">
        <f t="shared" si="31"/>
        <v>0</v>
      </c>
      <c r="V69" s="305">
        <f t="shared" si="31"/>
        <v>0</v>
      </c>
      <c r="W69" s="305">
        <f t="shared" si="31"/>
        <v>0</v>
      </c>
      <c r="X69" s="305">
        <f t="shared" si="31"/>
        <v>0</v>
      </c>
      <c r="Y69" s="305">
        <f t="shared" si="31"/>
        <v>0</v>
      </c>
      <c r="Z69" s="305">
        <f t="shared" si="31"/>
        <v>0</v>
      </c>
      <c r="AA69" s="305">
        <f t="shared" si="31"/>
        <v>0</v>
      </c>
      <c r="AB69" s="305">
        <f t="shared" si="31"/>
        <v>0</v>
      </c>
      <c r="AC69" s="305">
        <f t="shared" si="31"/>
        <v>0</v>
      </c>
      <c r="AD69" s="305">
        <f t="shared" si="31"/>
        <v>0</v>
      </c>
      <c r="AE69" s="305">
        <f t="shared" si="31"/>
        <v>0</v>
      </c>
      <c r="AF69" s="305">
        <f t="shared" si="31"/>
        <v>0</v>
      </c>
      <c r="AG69" s="305">
        <f t="shared" si="31"/>
        <v>0</v>
      </c>
      <c r="AH69" s="305">
        <f t="shared" si="31"/>
        <v>0</v>
      </c>
      <c r="AI69" s="305">
        <f t="shared" si="31"/>
        <v>305.10000000000002</v>
      </c>
      <c r="AJ69" s="305">
        <f t="shared" si="31"/>
        <v>305.10000000000002</v>
      </c>
      <c r="AK69" s="305">
        <f t="shared" si="31"/>
        <v>305.10000000000002</v>
      </c>
      <c r="AL69" s="305">
        <f>SUM(AL70:AL71)</f>
        <v>302.96199999999999</v>
      </c>
      <c r="AM69" s="322">
        <f>AL69/AK69</f>
        <v>0.99299246148803655</v>
      </c>
    </row>
    <row r="70" spans="1:39" x14ac:dyDescent="0.25">
      <c r="A70" s="284">
        <v>69</v>
      </c>
      <c r="B70" s="284"/>
      <c r="C70" s="284" t="s">
        <v>211</v>
      </c>
      <c r="D70" s="307" t="s">
        <v>242</v>
      </c>
      <c r="E70" s="308">
        <v>305.10000000000002</v>
      </c>
      <c r="F70" s="308">
        <v>305.10000000000002</v>
      </c>
      <c r="G70" s="308">
        <v>302.96199999999999</v>
      </c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5">
        <f>E70+H70+K70+N70+Q70+T70+W70+Z70+AC70+AF70</f>
        <v>305.10000000000002</v>
      </c>
      <c r="AJ70" s="305">
        <f t="shared" ref="AJ70" si="32">F70+I70+L70+O70+R70+U70+X70+AA70+AD70+AG70</f>
        <v>305.10000000000002</v>
      </c>
      <c r="AK70" s="305">
        <f>F70+I70+L70+O70</f>
        <v>305.10000000000002</v>
      </c>
      <c r="AL70" s="328">
        <f>AH70+AE70+AB70+Y70+V70+S70+P70+M70+J70+G70</f>
        <v>302.96199999999999</v>
      </c>
      <c r="AM70" s="322">
        <f>AL70/AK70</f>
        <v>0.99299246148803655</v>
      </c>
    </row>
    <row r="71" spans="1:39" x14ac:dyDescent="0.25">
      <c r="A71" s="284">
        <v>70</v>
      </c>
      <c r="B71" s="284"/>
      <c r="C71" s="284" t="s">
        <v>217</v>
      </c>
      <c r="D71" s="307" t="s">
        <v>243</v>
      </c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5">
        <f>E71+H71+K71+N71+Q71+T71+W71+Z71+AC71+AF71</f>
        <v>0</v>
      </c>
      <c r="AJ71" s="310"/>
      <c r="AK71" s="305">
        <f>F71+I71+L71+O71</f>
        <v>0</v>
      </c>
      <c r="AL71" s="327"/>
      <c r="AM71" s="322"/>
    </row>
    <row r="72" spans="1:39" s="292" customFormat="1" x14ac:dyDescent="0.25">
      <c r="A72" s="284">
        <v>71</v>
      </c>
      <c r="B72" s="284"/>
      <c r="C72" s="287"/>
      <c r="D72" s="304" t="s">
        <v>245</v>
      </c>
      <c r="E72" s="305">
        <f>E73+E74</f>
        <v>32438</v>
      </c>
      <c r="F72" s="305">
        <f>F73+F74</f>
        <v>32438</v>
      </c>
      <c r="G72" s="305">
        <f>G73+G74</f>
        <v>16537.398000000001</v>
      </c>
      <c r="H72" s="305">
        <f t="shared" ref="H72:AH72" si="33">H73+H74</f>
        <v>0</v>
      </c>
      <c r="I72" s="305">
        <f t="shared" si="33"/>
        <v>0</v>
      </c>
      <c r="J72" s="305">
        <f t="shared" si="33"/>
        <v>0</v>
      </c>
      <c r="K72" s="305">
        <f t="shared" si="33"/>
        <v>0</v>
      </c>
      <c r="L72" s="305">
        <f t="shared" si="33"/>
        <v>0</v>
      </c>
      <c r="M72" s="305">
        <f t="shared" si="33"/>
        <v>0</v>
      </c>
      <c r="N72" s="305">
        <f t="shared" si="33"/>
        <v>0</v>
      </c>
      <c r="O72" s="305">
        <f t="shared" si="33"/>
        <v>0</v>
      </c>
      <c r="P72" s="305">
        <f t="shared" si="33"/>
        <v>0</v>
      </c>
      <c r="Q72" s="305">
        <f t="shared" si="33"/>
        <v>966</v>
      </c>
      <c r="R72" s="305">
        <f t="shared" si="33"/>
        <v>966</v>
      </c>
      <c r="S72" s="305">
        <f t="shared" si="33"/>
        <v>322</v>
      </c>
      <c r="T72" s="305">
        <f t="shared" si="33"/>
        <v>0</v>
      </c>
      <c r="U72" s="305">
        <f t="shared" si="33"/>
        <v>0</v>
      </c>
      <c r="V72" s="305">
        <f t="shared" si="33"/>
        <v>0</v>
      </c>
      <c r="W72" s="305">
        <f t="shared" si="33"/>
        <v>0</v>
      </c>
      <c r="X72" s="305">
        <f t="shared" si="33"/>
        <v>0</v>
      </c>
      <c r="Y72" s="305">
        <f t="shared" si="33"/>
        <v>0</v>
      </c>
      <c r="Z72" s="305">
        <f t="shared" si="33"/>
        <v>0</v>
      </c>
      <c r="AA72" s="305">
        <f t="shared" si="33"/>
        <v>0</v>
      </c>
      <c r="AB72" s="305">
        <f t="shared" si="33"/>
        <v>0</v>
      </c>
      <c r="AC72" s="305">
        <f t="shared" si="33"/>
        <v>0</v>
      </c>
      <c r="AD72" s="305">
        <f t="shared" si="33"/>
        <v>0</v>
      </c>
      <c r="AE72" s="305">
        <f t="shared" si="33"/>
        <v>0</v>
      </c>
      <c r="AF72" s="305">
        <f t="shared" si="33"/>
        <v>0</v>
      </c>
      <c r="AG72" s="305">
        <f t="shared" si="33"/>
        <v>483.49900000000002</v>
      </c>
      <c r="AH72" s="305">
        <f t="shared" si="33"/>
        <v>483.49900000000002</v>
      </c>
      <c r="AI72" s="305">
        <f>SUM(AI73:AI74)</f>
        <v>33404</v>
      </c>
      <c r="AJ72" s="305">
        <f t="shared" ref="AJ72:AK72" si="34">SUM(AJ73:AJ74)</f>
        <v>33887.498999999996</v>
      </c>
      <c r="AK72" s="305">
        <f t="shared" si="34"/>
        <v>33887.498999999996</v>
      </c>
      <c r="AL72" s="305">
        <f t="shared" ref="AL72" si="35">SUM(AL73:AL74)</f>
        <v>17342.896999999997</v>
      </c>
      <c r="AM72" s="322">
        <f t="shared" si="4"/>
        <v>0.51177860602814029</v>
      </c>
    </row>
    <row r="73" spans="1:39" x14ac:dyDescent="0.25">
      <c r="A73" s="284">
        <v>72</v>
      </c>
      <c r="B73" s="284"/>
      <c r="C73" s="284" t="s">
        <v>211</v>
      </c>
      <c r="D73" s="307" t="s">
        <v>242</v>
      </c>
      <c r="E73" s="308">
        <v>4857</v>
      </c>
      <c r="F73" s="308">
        <v>4857</v>
      </c>
      <c r="G73" s="308">
        <v>2452.0450000000001</v>
      </c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9">
        <f>E73+H73+K73+Q73+T73+W73+AF73</f>
        <v>4857</v>
      </c>
      <c r="AJ73" s="309">
        <f t="shared" ref="AJ73:AJ74" si="36">F73+I73+L73+R73+U73+X73+AG73</f>
        <v>4857</v>
      </c>
      <c r="AK73" s="309">
        <f>F73+I73+L73+R73+U73+X73+AG73</f>
        <v>4857</v>
      </c>
      <c r="AL73" s="309">
        <f>G73+J73+M73+S73+V73+Y73+AH73</f>
        <v>2452.0450000000001</v>
      </c>
      <c r="AM73" s="322">
        <f t="shared" ref="AM73:AM84" si="37">AL73/AK73</f>
        <v>0.50484764257772285</v>
      </c>
    </row>
    <row r="74" spans="1:39" x14ac:dyDescent="0.25">
      <c r="A74" s="284">
        <v>73</v>
      </c>
      <c r="B74" s="284"/>
      <c r="C74" s="284" t="s">
        <v>217</v>
      </c>
      <c r="D74" s="307" t="s">
        <v>243</v>
      </c>
      <c r="E74" s="308">
        <v>27581</v>
      </c>
      <c r="F74" s="308">
        <v>27581</v>
      </c>
      <c r="G74" s="308">
        <v>14085.352999999999</v>
      </c>
      <c r="H74" s="308"/>
      <c r="I74" s="308"/>
      <c r="J74" s="308"/>
      <c r="K74" s="308"/>
      <c r="L74" s="308"/>
      <c r="M74" s="308"/>
      <c r="N74" s="308"/>
      <c r="O74" s="308"/>
      <c r="P74" s="308"/>
      <c r="Q74" s="308">
        <v>966</v>
      </c>
      <c r="R74" s="308">
        <v>966</v>
      </c>
      <c r="S74" s="308">
        <v>322</v>
      </c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>
        <v>483.49900000000002</v>
      </c>
      <c r="AH74" s="308">
        <v>483.49900000000002</v>
      </c>
      <c r="AI74" s="309">
        <f>E74+H74+K74+Q74+T74+W74+AF74</f>
        <v>28547</v>
      </c>
      <c r="AJ74" s="309">
        <f t="shared" si="36"/>
        <v>29030.499</v>
      </c>
      <c r="AK74" s="309">
        <f>F74+I74+L74+R74+U74+X74+AG74</f>
        <v>29030.499</v>
      </c>
      <c r="AL74" s="309">
        <f>G74+J74+M74+S74+V74+Y74+AH74</f>
        <v>14890.851999999999</v>
      </c>
      <c r="AM74" s="322">
        <f t="shared" si="37"/>
        <v>0.51293820337018659</v>
      </c>
    </row>
    <row r="75" spans="1:39" s="292" customFormat="1" x14ac:dyDescent="0.25">
      <c r="A75" s="284">
        <v>74</v>
      </c>
      <c r="B75" s="284"/>
      <c r="C75" s="287"/>
      <c r="D75" s="304" t="s">
        <v>348</v>
      </c>
      <c r="E75" s="305">
        <f>SUM(E76:E77)</f>
        <v>5235.1000000000004</v>
      </c>
      <c r="F75" s="305">
        <f t="shared" ref="F75:V75" si="38">SUM(F76:F77)</f>
        <v>5235.1000000000004</v>
      </c>
      <c r="G75" s="305">
        <f t="shared" si="38"/>
        <v>925.58399999999995</v>
      </c>
      <c r="H75" s="305">
        <f t="shared" si="38"/>
        <v>0</v>
      </c>
      <c r="I75" s="305">
        <f t="shared" si="38"/>
        <v>0</v>
      </c>
      <c r="J75" s="305">
        <f t="shared" si="38"/>
        <v>0</v>
      </c>
      <c r="K75" s="305">
        <f t="shared" si="38"/>
        <v>0</v>
      </c>
      <c r="L75" s="305">
        <f t="shared" si="38"/>
        <v>0</v>
      </c>
      <c r="M75" s="305">
        <f t="shared" si="38"/>
        <v>0</v>
      </c>
      <c r="N75" s="305">
        <f t="shared" si="38"/>
        <v>0</v>
      </c>
      <c r="O75" s="305">
        <f t="shared" si="38"/>
        <v>0</v>
      </c>
      <c r="P75" s="305">
        <f t="shared" si="38"/>
        <v>0</v>
      </c>
      <c r="Q75" s="305">
        <f t="shared" si="38"/>
        <v>17162</v>
      </c>
      <c r="R75" s="305">
        <f t="shared" si="38"/>
        <v>17162</v>
      </c>
      <c r="S75" s="305">
        <f t="shared" si="38"/>
        <v>15803.011999999999</v>
      </c>
      <c r="T75" s="305">
        <f t="shared" si="38"/>
        <v>0</v>
      </c>
      <c r="U75" s="305">
        <f t="shared" si="38"/>
        <v>0</v>
      </c>
      <c r="V75" s="305">
        <f t="shared" si="38"/>
        <v>0</v>
      </c>
      <c r="W75" s="305">
        <f t="shared" ref="W75:AJ75" si="39">SUM(W76:W77)</f>
        <v>210</v>
      </c>
      <c r="X75" s="305">
        <f t="shared" si="39"/>
        <v>210</v>
      </c>
      <c r="Y75" s="305">
        <f t="shared" si="39"/>
        <v>0</v>
      </c>
      <c r="Z75" s="305">
        <f t="shared" si="39"/>
        <v>0</v>
      </c>
      <c r="AA75" s="305">
        <f t="shared" si="39"/>
        <v>0</v>
      </c>
      <c r="AB75" s="305">
        <f t="shared" si="39"/>
        <v>0</v>
      </c>
      <c r="AC75" s="305">
        <f t="shared" si="39"/>
        <v>0</v>
      </c>
      <c r="AD75" s="305">
        <f t="shared" si="39"/>
        <v>0</v>
      </c>
      <c r="AE75" s="305">
        <f t="shared" si="39"/>
        <v>0</v>
      </c>
      <c r="AF75" s="305">
        <f t="shared" si="39"/>
        <v>0</v>
      </c>
      <c r="AG75" s="305">
        <f t="shared" si="39"/>
        <v>8.4</v>
      </c>
      <c r="AH75" s="305">
        <f t="shared" si="39"/>
        <v>8.4</v>
      </c>
      <c r="AI75" s="305">
        <f>SUM(AI76:AI77)</f>
        <v>22607.1</v>
      </c>
      <c r="AJ75" s="305">
        <f t="shared" si="39"/>
        <v>22615.5</v>
      </c>
      <c r="AK75" s="305">
        <f>SUM(AK76:AK77)</f>
        <v>22615.5</v>
      </c>
      <c r="AL75" s="305">
        <f t="shared" ref="AL75" si="40">SUM(AL76:AL77)</f>
        <v>16736.995999999999</v>
      </c>
      <c r="AM75" s="322">
        <f t="shared" si="37"/>
        <v>0.74006747584621169</v>
      </c>
    </row>
    <row r="76" spans="1:39" x14ac:dyDescent="0.25">
      <c r="A76" s="284">
        <v>75</v>
      </c>
      <c r="B76" s="284"/>
      <c r="C76" s="284" t="s">
        <v>211</v>
      </c>
      <c r="D76" s="307" t="s">
        <v>242</v>
      </c>
      <c r="E76" s="308">
        <v>1330.1</v>
      </c>
      <c r="F76" s="308">
        <v>1330.1</v>
      </c>
      <c r="G76" s="308">
        <v>570.07899999999995</v>
      </c>
      <c r="H76" s="308"/>
      <c r="I76" s="308"/>
      <c r="J76" s="308"/>
      <c r="K76" s="308"/>
      <c r="L76" s="308"/>
      <c r="M76" s="308"/>
      <c r="N76" s="308"/>
      <c r="O76" s="308"/>
      <c r="P76" s="308"/>
      <c r="Q76" s="308">
        <v>2004</v>
      </c>
      <c r="R76" s="308">
        <v>2004</v>
      </c>
      <c r="S76" s="308">
        <v>645.03200000000004</v>
      </c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>
        <v>8.4</v>
      </c>
      <c r="AH76" s="308">
        <v>8.4</v>
      </c>
      <c r="AI76" s="309">
        <f>E76+H76+K76+Q76+T76+W76+AF76</f>
        <v>3334.1</v>
      </c>
      <c r="AJ76" s="309">
        <f t="shared" ref="AJ76" si="41">F76+I76+L76+R76+U76+X76+AG76</f>
        <v>3342.5</v>
      </c>
      <c r="AK76" s="309">
        <f>F76+I76+L76+O76+R76+X76+AG76</f>
        <v>3342.5</v>
      </c>
      <c r="AL76" s="309">
        <f>G76+AH76+S76</f>
        <v>1223.511</v>
      </c>
      <c r="AM76" s="322">
        <f t="shared" si="37"/>
        <v>0.36604667165295435</v>
      </c>
    </row>
    <row r="77" spans="1:39" x14ac:dyDescent="0.25">
      <c r="A77" s="284">
        <v>76</v>
      </c>
      <c r="B77" s="284"/>
      <c r="C77" s="284" t="s">
        <v>217</v>
      </c>
      <c r="D77" s="307" t="s">
        <v>243</v>
      </c>
      <c r="E77" s="308">
        <v>3905</v>
      </c>
      <c r="F77" s="308">
        <v>3905</v>
      </c>
      <c r="G77" s="308">
        <v>355.505</v>
      </c>
      <c r="H77" s="308"/>
      <c r="I77" s="308"/>
      <c r="J77" s="308"/>
      <c r="K77" s="308"/>
      <c r="L77" s="308"/>
      <c r="M77" s="308"/>
      <c r="N77" s="308"/>
      <c r="O77" s="308"/>
      <c r="P77" s="308"/>
      <c r="Q77" s="308">
        <v>15158</v>
      </c>
      <c r="R77" s="308">
        <v>15158</v>
      </c>
      <c r="S77" s="308">
        <v>15157.98</v>
      </c>
      <c r="T77" s="308"/>
      <c r="U77" s="308"/>
      <c r="V77" s="308"/>
      <c r="W77" s="308">
        <v>210</v>
      </c>
      <c r="X77" s="308">
        <v>210</v>
      </c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9">
        <f>E77+H77+K77+Q77+T77+W77+AF77</f>
        <v>19273</v>
      </c>
      <c r="AJ77" s="309">
        <f>F77+I77+L77+R77+U77+X77+AG77</f>
        <v>19273</v>
      </c>
      <c r="AK77" s="309">
        <f>F77+I77+L77+R77+U77+X77+AG77</f>
        <v>19273</v>
      </c>
      <c r="AL77" s="309">
        <f>G77+J77+M77+S77+V77+Y77+AH77</f>
        <v>15513.484999999999</v>
      </c>
      <c r="AM77" s="322">
        <f t="shared" si="37"/>
        <v>0.80493358584548325</v>
      </c>
    </row>
    <row r="78" spans="1:39" x14ac:dyDescent="0.25">
      <c r="A78" s="284">
        <v>77</v>
      </c>
      <c r="B78" s="284"/>
      <c r="C78" s="284"/>
      <c r="D78" s="307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9"/>
      <c r="AJ78" s="310"/>
      <c r="AK78" s="311"/>
      <c r="AL78" s="306"/>
      <c r="AM78" s="322"/>
    </row>
    <row r="79" spans="1:39" s="292" customFormat="1" ht="15.75" x14ac:dyDescent="0.25">
      <c r="A79" s="284">
        <v>78</v>
      </c>
      <c r="B79" s="284"/>
      <c r="C79" s="287"/>
      <c r="D79" s="286" t="s">
        <v>246</v>
      </c>
      <c r="E79" s="305">
        <f>E65+E69+E72+E61+E75</f>
        <v>61573.299999999996</v>
      </c>
      <c r="F79" s="305">
        <f t="shared" ref="F79:AJ79" si="42">F65+F69+F72+F61+F75</f>
        <v>61573.299999999996</v>
      </c>
      <c r="G79" s="305">
        <f t="shared" si="42"/>
        <v>32410.402000000002</v>
      </c>
      <c r="H79" s="305">
        <f t="shared" si="42"/>
        <v>102821</v>
      </c>
      <c r="I79" s="305">
        <f t="shared" si="42"/>
        <v>102821</v>
      </c>
      <c r="J79" s="305">
        <f t="shared" si="42"/>
        <v>51277.287000000011</v>
      </c>
      <c r="K79" s="305">
        <f t="shared" si="42"/>
        <v>299157.57900000003</v>
      </c>
      <c r="L79" s="305">
        <f t="shared" si="42"/>
        <v>314796.82100000005</v>
      </c>
      <c r="M79" s="305">
        <f t="shared" si="42"/>
        <v>162766.01878519997</v>
      </c>
      <c r="N79" s="305">
        <f t="shared" si="42"/>
        <v>15000</v>
      </c>
      <c r="O79" s="305">
        <f t="shared" si="42"/>
        <v>15000</v>
      </c>
      <c r="P79" s="305">
        <f t="shared" si="42"/>
        <v>15000</v>
      </c>
      <c r="Q79" s="305">
        <f t="shared" si="42"/>
        <v>148870</v>
      </c>
      <c r="R79" s="305">
        <f t="shared" si="42"/>
        <v>174769.899</v>
      </c>
      <c r="S79" s="305">
        <f t="shared" si="42"/>
        <v>95058.331000000006</v>
      </c>
      <c r="T79" s="305">
        <f t="shared" si="42"/>
        <v>307909</v>
      </c>
      <c r="U79" s="305">
        <f t="shared" si="42"/>
        <v>298129.05499999999</v>
      </c>
      <c r="V79" s="305">
        <f t="shared" si="42"/>
        <v>1270</v>
      </c>
      <c r="W79" s="305">
        <f t="shared" si="42"/>
        <v>210</v>
      </c>
      <c r="X79" s="305">
        <f t="shared" si="42"/>
        <v>210</v>
      </c>
      <c r="Y79" s="305">
        <f t="shared" si="42"/>
        <v>0</v>
      </c>
      <c r="Z79" s="305">
        <f t="shared" si="42"/>
        <v>0</v>
      </c>
      <c r="AA79" s="305">
        <f t="shared" si="42"/>
        <v>0</v>
      </c>
      <c r="AB79" s="305">
        <f t="shared" si="42"/>
        <v>0</v>
      </c>
      <c r="AC79" s="305">
        <f t="shared" si="42"/>
        <v>0</v>
      </c>
      <c r="AD79" s="305">
        <f t="shared" si="42"/>
        <v>0</v>
      </c>
      <c r="AE79" s="305">
        <f t="shared" si="42"/>
        <v>0</v>
      </c>
      <c r="AF79" s="305">
        <f t="shared" si="42"/>
        <v>457973.75299999997</v>
      </c>
      <c r="AG79" s="305">
        <f t="shared" si="42"/>
        <v>464614.65600000002</v>
      </c>
      <c r="AH79" s="305">
        <f t="shared" si="42"/>
        <v>464614.65600000002</v>
      </c>
      <c r="AI79" s="305">
        <f t="shared" si="42"/>
        <v>1393514.6320000002</v>
      </c>
      <c r="AJ79" s="305">
        <f t="shared" si="42"/>
        <v>1276427.6270000001</v>
      </c>
      <c r="AK79" s="305">
        <f>AK65+AK69+AK72+AK61+AK75</f>
        <v>1431914.7310000001</v>
      </c>
      <c r="AL79" s="305">
        <f>AL65+AL69+AL72+AL61+AL75</f>
        <v>822396.69478519994</v>
      </c>
      <c r="AM79" s="322">
        <f t="shared" si="37"/>
        <v>0.57433356678359349</v>
      </c>
    </row>
    <row r="80" spans="1:39" s="292" customFormat="1" ht="15.75" x14ac:dyDescent="0.25">
      <c r="A80" s="284">
        <v>79</v>
      </c>
      <c r="B80" s="284"/>
      <c r="C80" s="287"/>
      <c r="D80" s="286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3"/>
      <c r="AK80" s="314"/>
      <c r="AL80" s="306"/>
      <c r="AM80" s="322"/>
    </row>
    <row r="81" spans="1:39" x14ac:dyDescent="0.25">
      <c r="A81" s="284">
        <v>80</v>
      </c>
      <c r="B81" s="284"/>
      <c r="C81" s="296"/>
      <c r="D81" s="296" t="s">
        <v>247</v>
      </c>
      <c r="E81" s="303">
        <f>E62+E66+E70+E73+E76</f>
        <v>27587.299999999996</v>
      </c>
      <c r="F81" s="303">
        <f>F62+F66+F70+F73+F76</f>
        <v>27587.299999999996</v>
      </c>
      <c r="G81" s="303">
        <f>G62+G66+G70+G73+G76</f>
        <v>17285.993000000002</v>
      </c>
      <c r="H81" s="303">
        <f t="shared" ref="H81:W81" si="43">H62+H66+H70+H73+H76</f>
        <v>102821</v>
      </c>
      <c r="I81" s="303">
        <f t="shared" ref="I81:J81" si="44">I62+I66+I70+I73+I76</f>
        <v>102821</v>
      </c>
      <c r="J81" s="303">
        <f t="shared" si="44"/>
        <v>51277.287000000011</v>
      </c>
      <c r="K81" s="303">
        <f>K62+K66+K70+K73+K76</f>
        <v>257157.57900000003</v>
      </c>
      <c r="L81" s="303">
        <f>L62+L66+L70+L73+L76</f>
        <v>266504.82100000005</v>
      </c>
      <c r="M81" s="303">
        <f>M62+M66+M70+M73+M76</f>
        <v>137708.13878519996</v>
      </c>
      <c r="N81" s="303">
        <f t="shared" ref="N81" si="45">N62+N66+N70+N73+N76</f>
        <v>0</v>
      </c>
      <c r="O81" s="303">
        <f>O62+O66+O70+O73+O76</f>
        <v>0</v>
      </c>
      <c r="P81" s="303">
        <f t="shared" ref="P81" si="46">P62+P66+P70+P73+P76</f>
        <v>0</v>
      </c>
      <c r="Q81" s="303">
        <f t="shared" si="43"/>
        <v>116377</v>
      </c>
      <c r="R81" s="303">
        <f t="shared" ref="R81:S81" si="47">R62+R66+R70+R73+R76</f>
        <v>117530.399</v>
      </c>
      <c r="S81" s="303">
        <f t="shared" si="47"/>
        <v>55245.709000000003</v>
      </c>
      <c r="T81" s="303">
        <f t="shared" si="43"/>
        <v>0</v>
      </c>
      <c r="U81" s="303">
        <f t="shared" ref="U81:V81" si="48">U62+U66+U70+U73+U76</f>
        <v>0</v>
      </c>
      <c r="V81" s="303">
        <f t="shared" si="48"/>
        <v>0</v>
      </c>
      <c r="W81" s="303">
        <f t="shared" si="43"/>
        <v>0</v>
      </c>
      <c r="X81" s="303">
        <f t="shared" ref="X81:AA81" si="49">X62+X66+X70+X73+X76</f>
        <v>0</v>
      </c>
      <c r="Y81" s="303">
        <f t="shared" ref="Y81" si="50">Y62+Y66+Y70+Y73+Y76</f>
        <v>0</v>
      </c>
      <c r="Z81" s="303">
        <f t="shared" si="49"/>
        <v>0</v>
      </c>
      <c r="AA81" s="303">
        <f t="shared" si="49"/>
        <v>0</v>
      </c>
      <c r="AB81" s="303">
        <f t="shared" ref="AB81:AE81" si="51">AB62+AB66+AB70+AB73+AB76</f>
        <v>0</v>
      </c>
      <c r="AC81" s="303">
        <f t="shared" si="51"/>
        <v>0</v>
      </c>
      <c r="AD81" s="303">
        <f t="shared" si="51"/>
        <v>0</v>
      </c>
      <c r="AE81" s="303">
        <f t="shared" si="51"/>
        <v>0</v>
      </c>
      <c r="AF81" s="303">
        <f>AF62+AF66+AF70+AF73+AF76</f>
        <v>22555.454000000002</v>
      </c>
      <c r="AG81" s="303">
        <f>AG62+AG66+AG70+AG73+AG76</f>
        <v>28212.969000000001</v>
      </c>
      <c r="AH81" s="303">
        <f>AH62+AH66+AH70+AH73+AH76</f>
        <v>28212.969000000001</v>
      </c>
      <c r="AI81" s="303">
        <f>AI62+AI66+AI70+AI73+AI76</f>
        <v>526498.33299999998</v>
      </c>
      <c r="AJ81" s="303">
        <f t="shared" ref="AJ81" si="52">AJ62+AJ66+AJ70+AJ73+AJ76</f>
        <v>542656.48899999994</v>
      </c>
      <c r="AK81" s="303">
        <f>AK62+AK66+AK70+AK73+AK76</f>
        <v>542656.48899999994</v>
      </c>
      <c r="AL81" s="303">
        <f>AL62+AL66+AL70+AL73+AL76</f>
        <v>289730.0967852</v>
      </c>
      <c r="AM81" s="322">
        <f t="shared" si="37"/>
        <v>0.5339106832005468</v>
      </c>
    </row>
    <row r="82" spans="1:39" x14ac:dyDescent="0.25">
      <c r="A82" s="284">
        <v>81</v>
      </c>
      <c r="B82" s="284"/>
      <c r="C82" s="296"/>
      <c r="D82" s="296" t="s">
        <v>248</v>
      </c>
      <c r="E82" s="303">
        <f>E64+E67+E71+E74+E77</f>
        <v>33986</v>
      </c>
      <c r="F82" s="303">
        <f>F64+F67+F71+F74+F77</f>
        <v>33986</v>
      </c>
      <c r="G82" s="303">
        <f>G64+G67+G71+G74+G77</f>
        <v>15124.408999999998</v>
      </c>
      <c r="H82" s="303">
        <f t="shared" ref="H82:AI82" si="53">H64+H67+H71+H74+H77</f>
        <v>0</v>
      </c>
      <c r="I82" s="303">
        <f t="shared" ref="I82:J82" si="54">I64+I67+I71+I74+I77</f>
        <v>0</v>
      </c>
      <c r="J82" s="303">
        <f t="shared" si="54"/>
        <v>0</v>
      </c>
      <c r="K82" s="303">
        <f>K64+K67+K71+K74+K77</f>
        <v>34830</v>
      </c>
      <c r="L82" s="303">
        <f>L64+L67+L71+L74+L77</f>
        <v>41122</v>
      </c>
      <c r="M82" s="303">
        <f>M64+M67+M71+M74+M77</f>
        <v>21383.440000000002</v>
      </c>
      <c r="N82" s="303">
        <f t="shared" ref="N82:O82" si="55">N64+N67+N71+N74+N77</f>
        <v>15000</v>
      </c>
      <c r="O82" s="303">
        <f t="shared" si="55"/>
        <v>15000</v>
      </c>
      <c r="P82" s="303">
        <f>P64+P67+P71+P74+P77</f>
        <v>15000</v>
      </c>
      <c r="Q82" s="303">
        <f t="shared" si="53"/>
        <v>32493</v>
      </c>
      <c r="R82" s="303">
        <f t="shared" ref="R82:S82" si="56">R64+R67+R71+R74+R77</f>
        <v>57239.5</v>
      </c>
      <c r="S82" s="303">
        <f t="shared" si="56"/>
        <v>39812.622000000003</v>
      </c>
      <c r="T82" s="303">
        <f t="shared" si="53"/>
        <v>307909</v>
      </c>
      <c r="U82" s="303">
        <f t="shared" ref="U82:V82" si="57">U64+U67+U71+U74+U77</f>
        <v>298129.05499999999</v>
      </c>
      <c r="V82" s="303">
        <f t="shared" si="57"/>
        <v>1270</v>
      </c>
      <c r="W82" s="303">
        <f t="shared" si="53"/>
        <v>210</v>
      </c>
      <c r="X82" s="303">
        <f t="shared" ref="X82:AA82" si="58">X64+X67+X71+X74+X77</f>
        <v>210</v>
      </c>
      <c r="Y82" s="303">
        <f t="shared" ref="Y82" si="59">Y64+Y67+Y71+Y74+Y77</f>
        <v>0</v>
      </c>
      <c r="Z82" s="303">
        <f t="shared" si="58"/>
        <v>0</v>
      </c>
      <c r="AA82" s="303">
        <f t="shared" si="58"/>
        <v>0</v>
      </c>
      <c r="AB82" s="303">
        <f t="shared" ref="AB82:AE82" si="60">AB64+AB67+AB71+AB74+AB77</f>
        <v>0</v>
      </c>
      <c r="AC82" s="303">
        <f t="shared" si="60"/>
        <v>0</v>
      </c>
      <c r="AD82" s="303">
        <f t="shared" si="60"/>
        <v>0</v>
      </c>
      <c r="AE82" s="303">
        <f t="shared" si="60"/>
        <v>0</v>
      </c>
      <c r="AF82" s="303">
        <f>AF64</f>
        <v>435418.299</v>
      </c>
      <c r="AG82" s="303">
        <f>AG64+AG74</f>
        <v>436401.68699999998</v>
      </c>
      <c r="AH82" s="303">
        <f>AH64+AH74</f>
        <v>436401.68699999998</v>
      </c>
      <c r="AI82" s="303">
        <f t="shared" si="53"/>
        <v>859846.299</v>
      </c>
      <c r="AJ82" s="303">
        <f t="shared" ref="AJ82" si="61">AJ64+AJ67+AJ71+AJ74+AJ77</f>
        <v>832712.16700000002</v>
      </c>
      <c r="AK82" s="303">
        <f>AK64+AK67+AK71+AK74+AK77</f>
        <v>882088.24199999997</v>
      </c>
      <c r="AL82" s="303">
        <f>AL64+AL67+AL71+AL74+AL77</f>
        <v>528992.15800000005</v>
      </c>
      <c r="AM82" s="322">
        <f t="shared" si="37"/>
        <v>0.5997043524813247</v>
      </c>
    </row>
    <row r="83" spans="1:39" x14ac:dyDescent="0.25">
      <c r="A83" s="284">
        <v>82</v>
      </c>
      <c r="B83" s="284"/>
      <c r="C83" s="296"/>
      <c r="D83" s="296" t="s">
        <v>353</v>
      </c>
      <c r="E83" s="303">
        <f>E68</f>
        <v>0</v>
      </c>
      <c r="F83" s="303">
        <f>F68</f>
        <v>0</v>
      </c>
      <c r="G83" s="303">
        <f>G68</f>
        <v>0</v>
      </c>
      <c r="H83" s="303">
        <f t="shared" ref="H83:AF83" si="62">H68</f>
        <v>0</v>
      </c>
      <c r="I83" s="303">
        <f t="shared" ref="I83:J83" si="63">I68</f>
        <v>0</v>
      </c>
      <c r="J83" s="303">
        <f t="shared" si="63"/>
        <v>0</v>
      </c>
      <c r="K83" s="303">
        <f>K68+K63</f>
        <v>7170</v>
      </c>
      <c r="L83" s="303">
        <f>L68+L63</f>
        <v>7170</v>
      </c>
      <c r="M83" s="303">
        <f>M68+M63</f>
        <v>3674.44</v>
      </c>
      <c r="N83" s="303">
        <f t="shared" ref="N83:O83" si="64">N68+N63</f>
        <v>0</v>
      </c>
      <c r="O83" s="303">
        <f t="shared" si="64"/>
        <v>0</v>
      </c>
      <c r="P83" s="303">
        <f t="shared" ref="P83" si="65">P68+P63</f>
        <v>0</v>
      </c>
      <c r="Q83" s="303">
        <f t="shared" si="62"/>
        <v>0</v>
      </c>
      <c r="R83" s="303">
        <f t="shared" ref="R83:S83" si="66">R68</f>
        <v>0</v>
      </c>
      <c r="S83" s="303">
        <f t="shared" si="66"/>
        <v>0</v>
      </c>
      <c r="T83" s="303">
        <f t="shared" si="62"/>
        <v>0</v>
      </c>
      <c r="U83" s="303">
        <f t="shared" ref="U83:V83" si="67">U68</f>
        <v>0</v>
      </c>
      <c r="V83" s="303">
        <f t="shared" si="67"/>
        <v>0</v>
      </c>
      <c r="W83" s="303">
        <f t="shared" si="62"/>
        <v>0</v>
      </c>
      <c r="X83" s="303">
        <f t="shared" ref="X83:AA83" si="68">X68</f>
        <v>0</v>
      </c>
      <c r="Y83" s="303">
        <f t="shared" ref="Y83" si="69">Y68</f>
        <v>0</v>
      </c>
      <c r="Z83" s="303">
        <f t="shared" si="68"/>
        <v>0</v>
      </c>
      <c r="AA83" s="303">
        <f t="shared" si="68"/>
        <v>0</v>
      </c>
      <c r="AB83" s="303">
        <f t="shared" ref="AB83:AE83" si="70">AB68</f>
        <v>0</v>
      </c>
      <c r="AC83" s="303">
        <f t="shared" si="70"/>
        <v>0</v>
      </c>
      <c r="AD83" s="303">
        <f t="shared" si="70"/>
        <v>0</v>
      </c>
      <c r="AE83" s="303">
        <f t="shared" si="70"/>
        <v>0</v>
      </c>
      <c r="AF83" s="303">
        <f t="shared" si="62"/>
        <v>0</v>
      </c>
      <c r="AG83" s="303">
        <f t="shared" ref="AG83:AH83" si="71">AG68</f>
        <v>0</v>
      </c>
      <c r="AH83" s="303">
        <f t="shared" si="71"/>
        <v>0</v>
      </c>
      <c r="AI83" s="303">
        <f>AI68+AI63</f>
        <v>7170</v>
      </c>
      <c r="AJ83" s="303">
        <f t="shared" ref="AJ83" si="72">AJ68+AJ63</f>
        <v>5525</v>
      </c>
      <c r="AK83" s="303">
        <f>AK68+AK63</f>
        <v>7170</v>
      </c>
      <c r="AL83" s="303">
        <f>AL68+AL63</f>
        <v>3674.44</v>
      </c>
      <c r="AM83" s="322">
        <f t="shared" si="37"/>
        <v>0.51247419804741978</v>
      </c>
    </row>
    <row r="84" spans="1:39" s="292" customFormat="1" x14ac:dyDescent="0.25">
      <c r="A84" s="284">
        <v>83</v>
      </c>
      <c r="B84" s="284"/>
      <c r="C84" s="315"/>
      <c r="D84" s="315" t="s">
        <v>249</v>
      </c>
      <c r="E84" s="316">
        <f>SUM(E81:E82)</f>
        <v>61573.299999999996</v>
      </c>
      <c r="F84" s="316">
        <f>SUM(F81:F82)</f>
        <v>61573.299999999996</v>
      </c>
      <c r="G84" s="517">
        <f>SUM(G81:G82)</f>
        <v>32410.402000000002</v>
      </c>
      <c r="H84" s="316">
        <f t="shared" ref="H84:AF84" si="73">SUM(H81:H82)</f>
        <v>102821</v>
      </c>
      <c r="I84" s="316">
        <f t="shared" ref="I84:J84" si="74">SUM(I81:I82)</f>
        <v>102821</v>
      </c>
      <c r="J84" s="517">
        <f t="shared" si="74"/>
        <v>51277.287000000011</v>
      </c>
      <c r="K84" s="316">
        <f>SUM(K81:K83)</f>
        <v>299157.57900000003</v>
      </c>
      <c r="L84" s="316">
        <f>SUM(L81:L83)</f>
        <v>314796.82100000005</v>
      </c>
      <c r="M84" s="517">
        <f>SUM(M81:M83)</f>
        <v>162766.01878519997</v>
      </c>
      <c r="N84" s="316">
        <f t="shared" ref="N84:O84" si="75">SUM(N81:N83)</f>
        <v>15000</v>
      </c>
      <c r="O84" s="316">
        <f t="shared" si="75"/>
        <v>15000</v>
      </c>
      <c r="P84" s="517">
        <f t="shared" ref="P84" si="76">SUM(P81:P83)</f>
        <v>15000</v>
      </c>
      <c r="Q84" s="316">
        <f t="shared" si="73"/>
        <v>148870</v>
      </c>
      <c r="R84" s="316">
        <f t="shared" ref="R84:S84" si="77">SUM(R81:R82)</f>
        <v>174769.899</v>
      </c>
      <c r="S84" s="517">
        <f t="shared" si="77"/>
        <v>95058.331000000006</v>
      </c>
      <c r="T84" s="316">
        <f t="shared" si="73"/>
        <v>307909</v>
      </c>
      <c r="U84" s="316">
        <f t="shared" ref="U84:V84" si="78">SUM(U81:U82)</f>
        <v>298129.05499999999</v>
      </c>
      <c r="V84" s="517">
        <f t="shared" si="78"/>
        <v>1270</v>
      </c>
      <c r="W84" s="316">
        <f t="shared" si="73"/>
        <v>210</v>
      </c>
      <c r="X84" s="316">
        <f t="shared" ref="X84:AA84" si="79">SUM(X81:X82)</f>
        <v>210</v>
      </c>
      <c r="Y84" s="316">
        <f t="shared" ref="Y84" si="80">SUM(Y81:Y82)</f>
        <v>0</v>
      </c>
      <c r="Z84" s="316">
        <f t="shared" si="79"/>
        <v>0</v>
      </c>
      <c r="AA84" s="316">
        <f t="shared" si="79"/>
        <v>0</v>
      </c>
      <c r="AB84" s="316">
        <f t="shared" ref="AB84:AE84" si="81">SUM(AB81:AB82)</f>
        <v>0</v>
      </c>
      <c r="AC84" s="316">
        <f t="shared" si="81"/>
        <v>0</v>
      </c>
      <c r="AD84" s="316">
        <f t="shared" si="81"/>
        <v>0</v>
      </c>
      <c r="AE84" s="316">
        <f t="shared" si="81"/>
        <v>0</v>
      </c>
      <c r="AF84" s="316">
        <f t="shared" si="73"/>
        <v>457973.75300000003</v>
      </c>
      <c r="AG84" s="316">
        <f t="shared" ref="AG84:AH84" si="82">SUM(AG81:AG82)</f>
        <v>464614.65599999996</v>
      </c>
      <c r="AH84" s="517">
        <f t="shared" si="82"/>
        <v>464614.65599999996</v>
      </c>
      <c r="AI84" s="316">
        <f>SUM(AI81:AI83)</f>
        <v>1393514.632</v>
      </c>
      <c r="AJ84" s="316">
        <f t="shared" ref="AJ84" si="83">SUM(AJ81:AJ83)</f>
        <v>1380893.656</v>
      </c>
      <c r="AK84" s="316">
        <f>SUM(AK81:AK83)</f>
        <v>1431914.7309999999</v>
      </c>
      <c r="AL84" s="517">
        <f>SUM(AL81:AL83)</f>
        <v>822396.69478520006</v>
      </c>
      <c r="AM84" s="322">
        <f t="shared" si="37"/>
        <v>0.57433356678359371</v>
      </c>
    </row>
    <row r="87" spans="1:39" x14ac:dyDescent="0.25">
      <c r="T87" s="283" t="s">
        <v>250</v>
      </c>
      <c r="W87" s="283">
        <v>26133.054</v>
      </c>
    </row>
    <row r="88" spans="1:39" x14ac:dyDescent="0.25">
      <c r="T88" s="283" t="s">
        <v>307</v>
      </c>
      <c r="W88" s="283">
        <v>6483.085</v>
      </c>
    </row>
    <row r="89" spans="1:39" x14ac:dyDescent="0.25">
      <c r="T89" s="283" t="s">
        <v>251</v>
      </c>
      <c r="W89" s="283">
        <v>87742.762000000002</v>
      </c>
    </row>
    <row r="90" spans="1:39" x14ac:dyDescent="0.25">
      <c r="T90" s="283" t="s">
        <v>316</v>
      </c>
      <c r="W90" s="283">
        <f>SUM(W87:W89)</f>
        <v>120358.901</v>
      </c>
    </row>
    <row r="91" spans="1:39" x14ac:dyDescent="0.25">
      <c r="T91" s="283" t="s">
        <v>414</v>
      </c>
      <c r="W91" s="283">
        <v>10610.254000000001</v>
      </c>
    </row>
  </sheetData>
  <mergeCells count="13">
    <mergeCell ref="W1:AI1"/>
    <mergeCell ref="E3:G3"/>
    <mergeCell ref="H3:J3"/>
    <mergeCell ref="K3:M3"/>
    <mergeCell ref="N3:P3"/>
    <mergeCell ref="AC3:AE3"/>
    <mergeCell ref="AI3:AM3"/>
    <mergeCell ref="D2:AM2"/>
    <mergeCell ref="Q3:S3"/>
    <mergeCell ref="T3:V3"/>
    <mergeCell ref="W3:Y3"/>
    <mergeCell ref="Z3:AB3"/>
    <mergeCell ref="AF3:AH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0"/>
  <sheetViews>
    <sheetView tabSelected="1" view="pageBreakPreview" zoomScaleNormal="100" zoomScaleSheetLayoutView="100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N6" sqref="N6:O6"/>
    </sheetView>
  </sheetViews>
  <sheetFormatPr defaultRowHeight="15" x14ac:dyDescent="0.25"/>
  <cols>
    <col min="1" max="1" width="6.140625" style="47" customWidth="1"/>
    <col min="2" max="2" width="15.7109375" style="47" customWidth="1"/>
    <col min="3" max="3" width="31.28515625" style="47" bestFit="1" customWidth="1"/>
    <col min="4" max="4" width="9.28515625" style="47" bestFit="1" customWidth="1"/>
    <col min="5" max="5" width="8.42578125" style="47" bestFit="1" customWidth="1"/>
    <col min="6" max="6" width="8.5703125" style="47" bestFit="1" customWidth="1"/>
    <col min="7" max="7" width="9.28515625" style="47" bestFit="1" customWidth="1"/>
    <col min="8" max="8" width="7.140625" style="47" bestFit="1" customWidth="1"/>
    <col min="9" max="9" width="8.5703125" style="47" bestFit="1" customWidth="1"/>
    <col min="10" max="10" width="9.28515625" style="47" bestFit="1" customWidth="1"/>
    <col min="11" max="12" width="10.140625" style="47" bestFit="1" customWidth="1"/>
    <col min="13" max="13" width="9.28515625" style="47" bestFit="1" customWidth="1"/>
    <col min="14" max="15" width="10.140625" style="47" bestFit="1" customWidth="1"/>
    <col min="16" max="16" width="9.28515625" style="47" bestFit="1" customWidth="1"/>
    <col min="17" max="17" width="7.140625" style="47" bestFit="1" customWidth="1"/>
    <col min="18" max="18" width="8.5703125" style="47" bestFit="1" customWidth="1"/>
    <col min="19" max="19" width="9.28515625" style="47" bestFit="1" customWidth="1"/>
    <col min="20" max="20" width="7.140625" style="47" bestFit="1" customWidth="1"/>
    <col min="21" max="21" width="8.5703125" style="47" bestFit="1" customWidth="1"/>
    <col min="22" max="24" width="11.28515625" style="47" bestFit="1" customWidth="1"/>
    <col min="25" max="25" width="9.28515625" style="47" bestFit="1" customWidth="1"/>
    <col min="26" max="26" width="8.42578125" style="47" bestFit="1" customWidth="1"/>
    <col min="27" max="27" width="8.5703125" style="47" bestFit="1" customWidth="1"/>
    <col min="28" max="30" width="11.28515625" style="47" bestFit="1" customWidth="1"/>
    <col min="31" max="31" width="10.140625" style="47" customWidth="1"/>
    <col min="32" max="16384" width="9.140625" style="47"/>
  </cols>
  <sheetData>
    <row r="1" spans="1:31" x14ac:dyDescent="0.25">
      <c r="P1" s="559" t="s">
        <v>415</v>
      </c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</row>
    <row r="2" spans="1:31" ht="54.75" customHeight="1" x14ac:dyDescent="0.25">
      <c r="A2" s="46">
        <v>1</v>
      </c>
      <c r="B2" s="46"/>
      <c r="C2" s="563" t="s">
        <v>416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5"/>
    </row>
    <row r="3" spans="1:31" ht="81.75" customHeight="1" x14ac:dyDescent="0.25">
      <c r="A3" s="46">
        <v>2</v>
      </c>
      <c r="B3" s="48" t="s">
        <v>202</v>
      </c>
      <c r="C3" s="49" t="s">
        <v>203</v>
      </c>
      <c r="D3" s="560" t="s">
        <v>160</v>
      </c>
      <c r="E3" s="561"/>
      <c r="F3" s="562"/>
      <c r="G3" s="560" t="s">
        <v>159</v>
      </c>
      <c r="H3" s="561"/>
      <c r="I3" s="562"/>
      <c r="J3" s="560" t="s">
        <v>205</v>
      </c>
      <c r="K3" s="561"/>
      <c r="L3" s="562"/>
      <c r="M3" s="560" t="s">
        <v>206</v>
      </c>
      <c r="N3" s="561"/>
      <c r="O3" s="562"/>
      <c r="P3" s="560" t="s">
        <v>207</v>
      </c>
      <c r="Q3" s="561"/>
      <c r="R3" s="562"/>
      <c r="S3" s="560" t="s">
        <v>252</v>
      </c>
      <c r="T3" s="561"/>
      <c r="U3" s="562"/>
      <c r="V3" s="560" t="s">
        <v>253</v>
      </c>
      <c r="W3" s="561"/>
      <c r="X3" s="562"/>
      <c r="Y3" s="560" t="s">
        <v>334</v>
      </c>
      <c r="Z3" s="561"/>
      <c r="AA3" s="562"/>
      <c r="AB3" s="560" t="s">
        <v>209</v>
      </c>
      <c r="AC3" s="561"/>
      <c r="AD3" s="561"/>
      <c r="AE3" s="562"/>
    </row>
    <row r="4" spans="1:31" ht="30" x14ac:dyDescent="0.25">
      <c r="A4" s="236">
        <v>3</v>
      </c>
      <c r="B4" s="236"/>
      <c r="C4" s="237" t="s">
        <v>254</v>
      </c>
      <c r="D4" s="240" t="s">
        <v>417</v>
      </c>
      <c r="E4" s="102" t="s">
        <v>412</v>
      </c>
      <c r="F4" s="102" t="s">
        <v>398</v>
      </c>
      <c r="G4" s="240" t="s">
        <v>417</v>
      </c>
      <c r="H4" s="102" t="s">
        <v>412</v>
      </c>
      <c r="I4" s="102" t="s">
        <v>418</v>
      </c>
      <c r="J4" s="240" t="s">
        <v>417</v>
      </c>
      <c r="K4" s="102" t="s">
        <v>412</v>
      </c>
      <c r="L4" s="102" t="s">
        <v>419</v>
      </c>
      <c r="M4" s="240" t="s">
        <v>420</v>
      </c>
      <c r="N4" s="102" t="s">
        <v>412</v>
      </c>
      <c r="O4" s="102" t="s">
        <v>418</v>
      </c>
      <c r="P4" s="240" t="s">
        <v>417</v>
      </c>
      <c r="Q4" s="102" t="s">
        <v>412</v>
      </c>
      <c r="R4" s="102" t="s">
        <v>421</v>
      </c>
      <c r="S4" s="240" t="s">
        <v>417</v>
      </c>
      <c r="T4" s="102" t="s">
        <v>412</v>
      </c>
      <c r="U4" s="102" t="s">
        <v>421</v>
      </c>
      <c r="V4" s="240" t="s">
        <v>417</v>
      </c>
      <c r="W4" s="102" t="s">
        <v>412</v>
      </c>
      <c r="X4" s="102" t="s">
        <v>418</v>
      </c>
      <c r="Y4" s="240" t="s">
        <v>417</v>
      </c>
      <c r="Z4" s="102" t="s">
        <v>412</v>
      </c>
      <c r="AA4" s="102" t="s">
        <v>418</v>
      </c>
      <c r="AB4" s="240" t="s">
        <v>417</v>
      </c>
      <c r="AC4" s="102" t="s">
        <v>412</v>
      </c>
      <c r="AD4" s="102" t="s">
        <v>407</v>
      </c>
      <c r="AE4" s="102" t="s">
        <v>399</v>
      </c>
    </row>
    <row r="5" spans="1:31" x14ac:dyDescent="0.25">
      <c r="A5" s="46">
        <v>4</v>
      </c>
      <c r="B5" s="46" t="s">
        <v>318</v>
      </c>
      <c r="C5" s="52" t="s">
        <v>309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>
        <v>7170</v>
      </c>
      <c r="W5" s="151">
        <v>7170</v>
      </c>
      <c r="X5" s="151">
        <v>3674.44</v>
      </c>
      <c r="Y5" s="151"/>
      <c r="Z5" s="151"/>
      <c r="AA5" s="151"/>
      <c r="AB5" s="152">
        <f>D5+G5+J5+M5+P5+V5</f>
        <v>7170</v>
      </c>
      <c r="AC5" s="152">
        <f t="shared" ref="AC5:AD8" si="0">E5+H5+K5+N5+Q5+T5+W5+Z5</f>
        <v>7170</v>
      </c>
      <c r="AD5" s="152">
        <f t="shared" si="0"/>
        <v>3674.44</v>
      </c>
      <c r="AE5" s="266">
        <f>AD5/AC5</f>
        <v>0.51247419804741978</v>
      </c>
    </row>
    <row r="6" spans="1:31" x14ac:dyDescent="0.25">
      <c r="A6" s="46">
        <v>5</v>
      </c>
      <c r="B6" s="46" t="s">
        <v>211</v>
      </c>
      <c r="C6" s="52" t="s">
        <v>463</v>
      </c>
      <c r="D6" s="150"/>
      <c r="E6" s="150"/>
      <c r="F6" s="150"/>
      <c r="G6" s="150"/>
      <c r="H6" s="150"/>
      <c r="I6" s="150"/>
      <c r="J6" s="150"/>
      <c r="K6" s="150">
        <v>1153.3989999999999</v>
      </c>
      <c r="L6" s="150">
        <v>1165.1579999999999</v>
      </c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51">
        <v>6.601</v>
      </c>
      <c r="X6" s="151">
        <v>0.85199999999999998</v>
      </c>
      <c r="Y6" s="151"/>
      <c r="Z6" s="151"/>
      <c r="AA6" s="151"/>
      <c r="AB6" s="152">
        <f>D6+G6+J6+M6+P6+V6</f>
        <v>0</v>
      </c>
      <c r="AC6" s="152">
        <f>E6+H6+K6+N6+Q6+T6+W6+Z6</f>
        <v>1160</v>
      </c>
      <c r="AD6" s="152">
        <f t="shared" si="0"/>
        <v>1166.01</v>
      </c>
      <c r="AE6" s="266">
        <f>AD6/AC6</f>
        <v>1.0051810344827585</v>
      </c>
    </row>
    <row r="7" spans="1:31" x14ac:dyDescent="0.25">
      <c r="A7" s="236">
        <v>6</v>
      </c>
      <c r="B7" s="46" t="s">
        <v>211</v>
      </c>
      <c r="C7" s="52" t="s">
        <v>256</v>
      </c>
      <c r="D7" s="151">
        <v>338.1</v>
      </c>
      <c r="E7" s="151">
        <v>338.1</v>
      </c>
      <c r="F7" s="151">
        <v>200.774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>
        <v>73200.899999999994</v>
      </c>
      <c r="W7" s="151">
        <v>73424.298999999999</v>
      </c>
      <c r="X7" s="151">
        <v>34988.595000000001</v>
      </c>
      <c r="Y7" s="151"/>
      <c r="Z7" s="151">
        <v>371.66399999999999</v>
      </c>
      <c r="AA7" s="151">
        <v>371.66399999999999</v>
      </c>
      <c r="AB7" s="152">
        <f>D7+G7+J7+M7+P7+V7</f>
        <v>73539</v>
      </c>
      <c r="AC7" s="152">
        <f>E7+H7+K7+N7+Q7+T7+W7+Z7</f>
        <v>74134.063000000009</v>
      </c>
      <c r="AD7" s="152">
        <f t="shared" si="0"/>
        <v>35561.032999999996</v>
      </c>
      <c r="AE7" s="266">
        <f t="shared" ref="AE7:AE10" si="1">AD7/AC7</f>
        <v>0.47968547198067357</v>
      </c>
    </row>
    <row r="8" spans="1:31" ht="15.75" x14ac:dyDescent="0.25">
      <c r="A8" s="46">
        <v>7</v>
      </c>
      <c r="B8" s="46"/>
      <c r="C8" s="50" t="s">
        <v>257</v>
      </c>
      <c r="D8" s="152">
        <f t="shared" ref="D8:AB8" si="2">SUM(D5:D7)</f>
        <v>338.1</v>
      </c>
      <c r="E8" s="152">
        <f>SUM(E5:E7)</f>
        <v>338.1</v>
      </c>
      <c r="F8" s="152">
        <f>SUM(F5:F7)</f>
        <v>200.774</v>
      </c>
      <c r="G8" s="152">
        <f t="shared" si="2"/>
        <v>0</v>
      </c>
      <c r="H8" s="152">
        <f t="shared" ref="H8:I8" si="3">SUM(H5:H7)</f>
        <v>0</v>
      </c>
      <c r="I8" s="152">
        <f t="shared" si="3"/>
        <v>0</v>
      </c>
      <c r="J8" s="152">
        <f t="shared" si="2"/>
        <v>0</v>
      </c>
      <c r="K8" s="152">
        <f t="shared" ref="K8:L8" si="4">SUM(K5:K7)</f>
        <v>1153.3989999999999</v>
      </c>
      <c r="L8" s="152">
        <f t="shared" si="4"/>
        <v>1165.1579999999999</v>
      </c>
      <c r="M8" s="152">
        <f t="shared" si="2"/>
        <v>0</v>
      </c>
      <c r="N8" s="152">
        <f t="shared" ref="N8:O8" si="5">SUM(N5:N7)</f>
        <v>0</v>
      </c>
      <c r="O8" s="152">
        <f t="shared" si="5"/>
        <v>0</v>
      </c>
      <c r="P8" s="152">
        <f t="shared" si="2"/>
        <v>0</v>
      </c>
      <c r="Q8" s="152">
        <f t="shared" ref="Q8:R8" si="6">SUM(Q5:Q7)</f>
        <v>0</v>
      </c>
      <c r="R8" s="152">
        <f t="shared" si="6"/>
        <v>0</v>
      </c>
      <c r="S8" s="152">
        <f t="shared" si="2"/>
        <v>0</v>
      </c>
      <c r="T8" s="152">
        <f t="shared" ref="T8:U8" si="7">SUM(T5:T7)</f>
        <v>0</v>
      </c>
      <c r="U8" s="152">
        <f t="shared" si="7"/>
        <v>0</v>
      </c>
      <c r="V8" s="152">
        <f t="shared" si="2"/>
        <v>80370.899999999994</v>
      </c>
      <c r="W8" s="152">
        <f t="shared" ref="W8:AA8" si="8">SUM(W5:W7)</f>
        <v>80600.899999999994</v>
      </c>
      <c r="X8" s="152">
        <f t="shared" si="8"/>
        <v>38663.887000000002</v>
      </c>
      <c r="Y8" s="152">
        <f t="shared" si="8"/>
        <v>0</v>
      </c>
      <c r="Z8" s="152">
        <f t="shared" si="8"/>
        <v>371.66399999999999</v>
      </c>
      <c r="AA8" s="152">
        <f t="shared" si="8"/>
        <v>371.66399999999999</v>
      </c>
      <c r="AB8" s="152">
        <f t="shared" si="2"/>
        <v>80709</v>
      </c>
      <c r="AC8" s="152">
        <f t="shared" si="0"/>
        <v>82464.062999999995</v>
      </c>
      <c r="AD8" s="152">
        <f t="shared" si="0"/>
        <v>40401.483</v>
      </c>
      <c r="AE8" s="266">
        <f t="shared" si="1"/>
        <v>0.48992835824739805</v>
      </c>
    </row>
    <row r="9" spans="1:31" x14ac:dyDescent="0.25">
      <c r="A9" s="46">
        <v>8</v>
      </c>
      <c r="B9" s="45"/>
      <c r="C9" s="45" t="s">
        <v>258</v>
      </c>
      <c r="D9" s="153">
        <f t="shared" ref="D9:AC9" si="9">SUMIF($B5:$B7,"kötelező",D5:D7)</f>
        <v>338.1</v>
      </c>
      <c r="E9" s="153">
        <f t="shared" ref="E9:F9" si="10">SUMIF($B5:$B7,"kötelező",E5:E7)</f>
        <v>338.1</v>
      </c>
      <c r="F9" s="153">
        <f t="shared" si="10"/>
        <v>200.774</v>
      </c>
      <c r="G9" s="153">
        <f t="shared" si="9"/>
        <v>0</v>
      </c>
      <c r="H9" s="153">
        <f t="shared" ref="H9:I9" si="11">SUMIF($B5:$B7,"kötelező",H5:H7)</f>
        <v>0</v>
      </c>
      <c r="I9" s="153">
        <f t="shared" si="11"/>
        <v>0</v>
      </c>
      <c r="J9" s="153">
        <f t="shared" si="9"/>
        <v>0</v>
      </c>
      <c r="K9" s="153">
        <f t="shared" ref="K9:L9" si="12">SUMIF($B5:$B7,"kötelező",K5:K7)</f>
        <v>1153.3989999999999</v>
      </c>
      <c r="L9" s="153">
        <f t="shared" si="12"/>
        <v>1165.1579999999999</v>
      </c>
      <c r="M9" s="153">
        <f t="shared" si="9"/>
        <v>0</v>
      </c>
      <c r="N9" s="153">
        <f t="shared" ref="N9:O9" si="13">SUMIF($B5:$B7,"kötelező",N5:N7)</f>
        <v>0</v>
      </c>
      <c r="O9" s="153">
        <f t="shared" si="13"/>
        <v>0</v>
      </c>
      <c r="P9" s="153">
        <f t="shared" si="9"/>
        <v>0</v>
      </c>
      <c r="Q9" s="153">
        <f t="shared" ref="Q9:R9" si="14">SUMIF($B5:$B7,"kötelező",Q5:Q7)</f>
        <v>0</v>
      </c>
      <c r="R9" s="153">
        <f t="shared" si="14"/>
        <v>0</v>
      </c>
      <c r="S9" s="153">
        <f t="shared" si="9"/>
        <v>0</v>
      </c>
      <c r="T9" s="153">
        <f t="shared" ref="T9:U9" si="15">SUMIF($B5:$B7,"kötelező",T5:T7)</f>
        <v>0</v>
      </c>
      <c r="U9" s="153">
        <f t="shared" si="15"/>
        <v>0</v>
      </c>
      <c r="V9" s="153">
        <f t="shared" si="9"/>
        <v>73200.899999999994</v>
      </c>
      <c r="W9" s="153">
        <f t="shared" ref="W9:Z9" si="16">SUMIF($B5:$B7,"kötelező",W5:W7)</f>
        <v>73430.899999999994</v>
      </c>
      <c r="X9" s="153">
        <f t="shared" ref="X9" si="17">SUMIF($B5:$B7,"kötelező",X5:X7)</f>
        <v>34989.447</v>
      </c>
      <c r="Y9" s="153">
        <f t="shared" si="16"/>
        <v>0</v>
      </c>
      <c r="Z9" s="153">
        <f t="shared" si="16"/>
        <v>371.66399999999999</v>
      </c>
      <c r="AA9" s="153">
        <f t="shared" ref="AA9" si="18">SUMIF($B5:$B7,"kötelező",AA5:AA7)</f>
        <v>371.66399999999999</v>
      </c>
      <c r="AB9" s="153">
        <f t="shared" si="9"/>
        <v>73539</v>
      </c>
      <c r="AC9" s="153">
        <f t="shared" si="9"/>
        <v>75294.063000000009</v>
      </c>
      <c r="AD9" s="153">
        <f t="shared" ref="AD9" si="19">SUMIF($B5:$B7,"kötelező",AD5:AD7)</f>
        <v>36727.042999999998</v>
      </c>
      <c r="AE9" s="323">
        <f t="shared" si="1"/>
        <v>0.48778139386633967</v>
      </c>
    </row>
    <row r="10" spans="1:31" x14ac:dyDescent="0.25">
      <c r="A10" s="236">
        <v>9</v>
      </c>
      <c r="B10" s="45"/>
      <c r="C10" s="45" t="s">
        <v>317</v>
      </c>
      <c r="D10" s="153">
        <f>SUMIF($B5:$B7,"államigazgatási",D5:D7)</f>
        <v>0</v>
      </c>
      <c r="E10" s="153">
        <f>SUMIF($B5:$B7,"államigazgatási",E5:E7)</f>
        <v>0</v>
      </c>
      <c r="F10" s="153">
        <f>SUMIF($B5:$B7,"államigazgatási",F5:F7)</f>
        <v>0</v>
      </c>
      <c r="G10" s="153">
        <f t="shared" ref="G10:AC10" si="20">SUMIF($B5:$B7,"államigazgatási",G5:G7)</f>
        <v>0</v>
      </c>
      <c r="H10" s="153">
        <f t="shared" ref="H10:I10" si="21">SUMIF($B5:$B7,"államigazgatási",H5:H7)</f>
        <v>0</v>
      </c>
      <c r="I10" s="153">
        <f t="shared" si="21"/>
        <v>0</v>
      </c>
      <c r="J10" s="153">
        <f t="shared" si="20"/>
        <v>0</v>
      </c>
      <c r="K10" s="153">
        <f t="shared" ref="K10:L10" si="22">SUMIF($B5:$B7,"államigazgatási",K5:K7)</f>
        <v>0</v>
      </c>
      <c r="L10" s="153">
        <f t="shared" si="22"/>
        <v>0</v>
      </c>
      <c r="M10" s="153">
        <f t="shared" si="20"/>
        <v>0</v>
      </c>
      <c r="N10" s="153">
        <f t="shared" ref="N10:O10" si="23">SUMIF($B5:$B7,"államigazgatási",N5:N7)</f>
        <v>0</v>
      </c>
      <c r="O10" s="153">
        <f t="shared" si="23"/>
        <v>0</v>
      </c>
      <c r="P10" s="153">
        <f t="shared" si="20"/>
        <v>0</v>
      </c>
      <c r="Q10" s="153">
        <f t="shared" ref="Q10:R10" si="24">SUMIF($B5:$B7,"államigazgatási",Q5:Q7)</f>
        <v>0</v>
      </c>
      <c r="R10" s="153">
        <f t="shared" si="24"/>
        <v>0</v>
      </c>
      <c r="S10" s="153">
        <f t="shared" si="20"/>
        <v>0</v>
      </c>
      <c r="T10" s="153">
        <f t="shared" ref="T10:U10" si="25">SUMIF($B5:$B7,"államigazgatási",T5:T7)</f>
        <v>0</v>
      </c>
      <c r="U10" s="153">
        <f t="shared" si="25"/>
        <v>0</v>
      </c>
      <c r="V10" s="153">
        <f t="shared" si="20"/>
        <v>7170</v>
      </c>
      <c r="W10" s="153">
        <f t="shared" ref="W10:Z10" si="26">SUMIF($B5:$B7,"államigazgatási",W5:W7)</f>
        <v>7170</v>
      </c>
      <c r="X10" s="153">
        <f t="shared" ref="X10" si="27">SUMIF($B5:$B7,"államigazgatási",X5:X7)</f>
        <v>3674.44</v>
      </c>
      <c r="Y10" s="153">
        <f t="shared" si="26"/>
        <v>0</v>
      </c>
      <c r="Z10" s="153">
        <f t="shared" si="26"/>
        <v>0</v>
      </c>
      <c r="AA10" s="153">
        <f t="shared" ref="AA10" si="28">SUMIF($B5:$B7,"államigazgatási",AA5:AA7)</f>
        <v>0</v>
      </c>
      <c r="AB10" s="153">
        <f t="shared" si="20"/>
        <v>7170</v>
      </c>
      <c r="AC10" s="153">
        <f t="shared" si="20"/>
        <v>7170</v>
      </c>
      <c r="AD10" s="153">
        <f t="shared" ref="AD10" si="29">SUMIF($B5:$B7,"államigazgatási",AD5:AD7)</f>
        <v>3674.44</v>
      </c>
      <c r="AE10" s="323">
        <f t="shared" si="1"/>
        <v>0.51247419804741978</v>
      </c>
    </row>
  </sheetData>
  <mergeCells count="11">
    <mergeCell ref="P1:AB1"/>
    <mergeCell ref="D3:F3"/>
    <mergeCell ref="G3:I3"/>
    <mergeCell ref="J3:L3"/>
    <mergeCell ref="M3:O3"/>
    <mergeCell ref="C2:AE2"/>
    <mergeCell ref="AB3:AE3"/>
    <mergeCell ref="P3:R3"/>
    <mergeCell ref="S3:U3"/>
    <mergeCell ref="V3:X3"/>
    <mergeCell ref="Y3:AA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20"/>
  <sheetViews>
    <sheetView view="pageBreakPreview" zoomScaleNormal="100" zoomScaleSheetLayoutView="100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C28" sqref="C28"/>
    </sheetView>
  </sheetViews>
  <sheetFormatPr defaultRowHeight="15" x14ac:dyDescent="0.25"/>
  <cols>
    <col min="1" max="1" width="5.28515625" style="54" customWidth="1"/>
    <col min="2" max="2" width="13.28515625" style="54" customWidth="1"/>
    <col min="3" max="3" width="28" style="54" customWidth="1"/>
    <col min="4" max="5" width="11.28515625" style="54" bestFit="1" customWidth="1"/>
    <col min="6" max="6" width="11.28515625" style="54" customWidth="1"/>
    <col min="7" max="7" width="10.85546875" style="54" bestFit="1" customWidth="1"/>
    <col min="8" max="8" width="8.28515625" style="54" bestFit="1" customWidth="1"/>
    <col min="9" max="9" width="8.28515625" style="54" customWidth="1"/>
    <col min="10" max="10" width="10.85546875" style="54" bestFit="1" customWidth="1"/>
    <col min="11" max="11" width="8.28515625" style="54" bestFit="1" customWidth="1"/>
    <col min="12" max="12" width="8.28515625" style="54" customWidth="1"/>
    <col min="13" max="13" width="10.85546875" style="54" bestFit="1" customWidth="1"/>
    <col min="14" max="14" width="8.28515625" style="54" bestFit="1" customWidth="1"/>
    <col min="15" max="15" width="8.28515625" style="54" customWidth="1"/>
    <col min="16" max="16" width="10.85546875" style="54" bestFit="1" customWidth="1"/>
    <col min="17" max="17" width="8.28515625" style="54" bestFit="1" customWidth="1"/>
    <col min="18" max="18" width="8.28515625" style="54" customWidth="1"/>
    <col min="19" max="19" width="10.85546875" style="54" bestFit="1" customWidth="1"/>
    <col min="20" max="20" width="8.28515625" style="54" bestFit="1" customWidth="1"/>
    <col min="21" max="21" width="8.28515625" style="54" customWidth="1"/>
    <col min="22" max="23" width="12.42578125" style="54" bestFit="1" customWidth="1"/>
    <col min="24" max="24" width="12.42578125" style="54" customWidth="1"/>
    <col min="25" max="27" width="8.28515625" style="54" customWidth="1"/>
    <col min="28" max="28" width="16" style="54" customWidth="1"/>
    <col min="29" max="29" width="0" style="53" hidden="1" customWidth="1"/>
    <col min="30" max="30" width="12.42578125" style="54" bestFit="1" customWidth="1"/>
    <col min="31" max="31" width="11.28515625" style="54" bestFit="1" customWidth="1"/>
    <col min="32" max="32" width="13.28515625" style="54" bestFit="1" customWidth="1"/>
    <col min="33" max="16384" width="9.140625" style="54"/>
  </cols>
  <sheetData>
    <row r="1" spans="1:32" x14ac:dyDescent="0.25">
      <c r="S1" s="47"/>
      <c r="T1" s="47"/>
      <c r="U1" s="47"/>
      <c r="V1" s="47"/>
      <c r="W1" s="47"/>
      <c r="X1" s="47"/>
      <c r="Y1" s="47"/>
      <c r="Z1" s="47"/>
      <c r="AA1" s="47"/>
      <c r="AB1" s="95" t="s">
        <v>422</v>
      </c>
    </row>
    <row r="2" spans="1:32" ht="62.25" customHeight="1" x14ac:dyDescent="0.25">
      <c r="A2" s="46">
        <v>1</v>
      </c>
      <c r="B2" s="46"/>
      <c r="C2" s="566" t="s">
        <v>423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</row>
    <row r="3" spans="1:32" ht="57" customHeight="1" x14ac:dyDescent="0.25">
      <c r="A3" s="46">
        <v>2</v>
      </c>
      <c r="B3" s="48" t="s">
        <v>259</v>
      </c>
      <c r="C3" s="50" t="s">
        <v>203</v>
      </c>
      <c r="D3" s="560" t="s">
        <v>160</v>
      </c>
      <c r="E3" s="561"/>
      <c r="F3" s="562"/>
      <c r="G3" s="560" t="s">
        <v>159</v>
      </c>
      <c r="H3" s="561"/>
      <c r="I3" s="562"/>
      <c r="J3" s="560" t="s">
        <v>205</v>
      </c>
      <c r="K3" s="561"/>
      <c r="L3" s="562"/>
      <c r="M3" s="560" t="s">
        <v>206</v>
      </c>
      <c r="N3" s="561"/>
      <c r="O3" s="562"/>
      <c r="P3" s="560" t="s">
        <v>207</v>
      </c>
      <c r="Q3" s="561"/>
      <c r="R3" s="562"/>
      <c r="S3" s="560" t="s">
        <v>252</v>
      </c>
      <c r="T3" s="561"/>
      <c r="U3" s="562"/>
      <c r="V3" s="560" t="s">
        <v>253</v>
      </c>
      <c r="W3" s="561"/>
      <c r="X3" s="562"/>
      <c r="Y3" s="560" t="s">
        <v>334</v>
      </c>
      <c r="Z3" s="561"/>
      <c r="AA3" s="562"/>
      <c r="AB3" s="560" t="s">
        <v>209</v>
      </c>
      <c r="AC3" s="561"/>
      <c r="AD3" s="561"/>
      <c r="AE3" s="561"/>
      <c r="AF3" s="562"/>
    </row>
    <row r="4" spans="1:32" ht="57" x14ac:dyDescent="0.25">
      <c r="A4" s="46">
        <v>3</v>
      </c>
      <c r="B4" s="55"/>
      <c r="C4" s="50" t="s">
        <v>254</v>
      </c>
      <c r="D4" s="64" t="s">
        <v>417</v>
      </c>
      <c r="E4" s="100" t="s">
        <v>412</v>
      </c>
      <c r="F4" s="100" t="s">
        <v>424</v>
      </c>
      <c r="G4" s="64" t="s">
        <v>417</v>
      </c>
      <c r="H4" s="100" t="s">
        <v>412</v>
      </c>
      <c r="I4" s="100" t="s">
        <v>424</v>
      </c>
      <c r="J4" s="64" t="s">
        <v>417</v>
      </c>
      <c r="K4" s="100" t="s">
        <v>412</v>
      </c>
      <c r="L4" s="100" t="s">
        <v>424</v>
      </c>
      <c r="M4" s="64" t="s">
        <v>417</v>
      </c>
      <c r="N4" s="100" t="s">
        <v>412</v>
      </c>
      <c r="O4" s="100" t="s">
        <v>424</v>
      </c>
      <c r="P4" s="64" t="s">
        <v>417</v>
      </c>
      <c r="Q4" s="100" t="s">
        <v>412</v>
      </c>
      <c r="R4" s="100" t="s">
        <v>424</v>
      </c>
      <c r="S4" s="64" t="s">
        <v>417</v>
      </c>
      <c r="T4" s="100" t="s">
        <v>412</v>
      </c>
      <c r="U4" s="100" t="s">
        <v>424</v>
      </c>
      <c r="V4" s="64" t="s">
        <v>417</v>
      </c>
      <c r="W4" s="100" t="s">
        <v>412</v>
      </c>
      <c r="X4" s="100" t="s">
        <v>424</v>
      </c>
      <c r="Y4" s="64" t="s">
        <v>417</v>
      </c>
      <c r="Z4" s="100" t="s">
        <v>412</v>
      </c>
      <c r="AA4" s="100" t="s">
        <v>424</v>
      </c>
      <c r="AB4" s="64" t="s">
        <v>417</v>
      </c>
      <c r="AC4" s="100" t="s">
        <v>412</v>
      </c>
      <c r="AD4" s="100" t="s">
        <v>412</v>
      </c>
      <c r="AE4" s="100" t="s">
        <v>424</v>
      </c>
      <c r="AF4" s="100" t="s">
        <v>425</v>
      </c>
    </row>
    <row r="5" spans="1:32" s="58" customFormat="1" x14ac:dyDescent="0.25">
      <c r="A5" s="56">
        <v>4</v>
      </c>
      <c r="B5" s="56" t="s">
        <v>211</v>
      </c>
      <c r="C5" s="57" t="s">
        <v>260</v>
      </c>
      <c r="D5" s="145"/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7">
        <v>852</v>
      </c>
      <c r="W5" s="147">
        <v>852</v>
      </c>
      <c r="X5" s="147">
        <v>304.49</v>
      </c>
      <c r="Y5" s="147"/>
      <c r="Z5" s="147"/>
      <c r="AA5" s="147"/>
      <c r="AB5" s="148">
        <f t="shared" ref="AB5:AB16" si="0">D5+G5+J5+M5+P5+S5+V5</f>
        <v>852</v>
      </c>
      <c r="AC5" s="148">
        <f t="shared" ref="AC5" si="1">E5+H5+K5+N5+Q5+T5+W5</f>
        <v>852</v>
      </c>
      <c r="AD5" s="148">
        <f>E5+H5+K5+N5+Q5+T5+W5+Z5</f>
        <v>852</v>
      </c>
      <c r="AE5" s="148">
        <f>F5+I5+L5+O5+R5+U5+X5+AA5</f>
        <v>304.49</v>
      </c>
      <c r="AF5" s="279">
        <f t="shared" ref="AF5:AF19" si="2">AE5/AD5</f>
        <v>0.35738262910798124</v>
      </c>
    </row>
    <row r="6" spans="1:32" s="58" customFormat="1" x14ac:dyDescent="0.25">
      <c r="A6" s="56">
        <v>6</v>
      </c>
      <c r="B6" s="56" t="s">
        <v>211</v>
      </c>
      <c r="C6" s="57" t="s">
        <v>261</v>
      </c>
      <c r="D6" s="145"/>
      <c r="E6" s="145"/>
      <c r="F6" s="145"/>
      <c r="G6" s="145"/>
      <c r="H6" s="145"/>
      <c r="I6" s="14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7">
        <v>321</v>
      </c>
      <c r="W6" s="147">
        <v>321</v>
      </c>
      <c r="X6" s="147">
        <v>131.32900000000001</v>
      </c>
      <c r="Y6" s="147"/>
      <c r="Z6" s="147"/>
      <c r="AA6" s="147"/>
      <c r="AB6" s="148">
        <f t="shared" si="0"/>
        <v>321</v>
      </c>
      <c r="AC6" s="192"/>
      <c r="AD6" s="148">
        <f t="shared" ref="AD6:AE16" si="3">E6+H6+K6+N6+Q6+T6+W6+Z6</f>
        <v>321</v>
      </c>
      <c r="AE6" s="148">
        <f t="shared" si="3"/>
        <v>131.32900000000001</v>
      </c>
      <c r="AF6" s="279">
        <f t="shared" si="2"/>
        <v>0.40912461059190036</v>
      </c>
    </row>
    <row r="7" spans="1:32" s="58" customFormat="1" x14ac:dyDescent="0.25">
      <c r="A7" s="56">
        <v>7</v>
      </c>
      <c r="B7" s="56" t="s">
        <v>217</v>
      </c>
      <c r="C7" s="57" t="s">
        <v>262</v>
      </c>
      <c r="D7" s="145"/>
      <c r="E7" s="145"/>
      <c r="F7" s="145"/>
      <c r="G7" s="145"/>
      <c r="H7" s="145"/>
      <c r="I7" s="145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7">
        <v>689</v>
      </c>
      <c r="W7" s="147">
        <v>794.8</v>
      </c>
      <c r="X7" s="147">
        <v>261.608</v>
      </c>
      <c r="Y7" s="147"/>
      <c r="Z7" s="147"/>
      <c r="AA7" s="147"/>
      <c r="AB7" s="148">
        <f t="shared" si="0"/>
        <v>689</v>
      </c>
      <c r="AC7" s="192">
        <v>13</v>
      </c>
      <c r="AD7" s="148">
        <f t="shared" si="3"/>
        <v>794.8</v>
      </c>
      <c r="AE7" s="148">
        <f t="shared" si="3"/>
        <v>261.608</v>
      </c>
      <c r="AF7" s="279">
        <f t="shared" si="2"/>
        <v>0.32914947156517366</v>
      </c>
    </row>
    <row r="8" spans="1:32" s="58" customFormat="1" x14ac:dyDescent="0.25">
      <c r="A8" s="56">
        <v>8</v>
      </c>
      <c r="B8" s="56" t="s">
        <v>211</v>
      </c>
      <c r="C8" s="57" t="s">
        <v>263</v>
      </c>
      <c r="D8" s="145"/>
      <c r="E8" s="145"/>
      <c r="F8" s="145"/>
      <c r="G8" s="145"/>
      <c r="H8" s="145"/>
      <c r="I8" s="145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>
        <v>9538</v>
      </c>
      <c r="W8" s="147">
        <v>9696</v>
      </c>
      <c r="X8" s="147">
        <v>4532.3959999999997</v>
      </c>
      <c r="Y8" s="147"/>
      <c r="Z8" s="147"/>
      <c r="AA8" s="147"/>
      <c r="AB8" s="148">
        <f t="shared" si="0"/>
        <v>9538</v>
      </c>
      <c r="AC8" s="192"/>
      <c r="AD8" s="148">
        <f t="shared" si="3"/>
        <v>9696</v>
      </c>
      <c r="AE8" s="148">
        <f t="shared" si="3"/>
        <v>4532.3959999999997</v>
      </c>
      <c r="AF8" s="279">
        <f t="shared" si="2"/>
        <v>0.46745008250825082</v>
      </c>
    </row>
    <row r="9" spans="1:32" s="58" customFormat="1" x14ac:dyDescent="0.25">
      <c r="A9" s="56">
        <v>9</v>
      </c>
      <c r="B9" s="56" t="s">
        <v>211</v>
      </c>
      <c r="C9" s="57" t="s">
        <v>264</v>
      </c>
      <c r="D9" s="145"/>
      <c r="E9" s="145"/>
      <c r="F9" s="145"/>
      <c r="G9" s="145"/>
      <c r="H9" s="145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7">
        <v>600</v>
      </c>
      <c r="W9" s="147">
        <v>600</v>
      </c>
      <c r="X9" s="147">
        <v>250</v>
      </c>
      <c r="Y9" s="147"/>
      <c r="Z9" s="147"/>
      <c r="AA9" s="147"/>
      <c r="AB9" s="148">
        <f t="shared" si="0"/>
        <v>600</v>
      </c>
      <c r="AC9" s="192"/>
      <c r="AD9" s="148">
        <f t="shared" si="3"/>
        <v>600</v>
      </c>
      <c r="AE9" s="148">
        <f t="shared" si="3"/>
        <v>250</v>
      </c>
      <c r="AF9" s="279">
        <f t="shared" si="2"/>
        <v>0.41666666666666669</v>
      </c>
    </row>
    <row r="10" spans="1:32" s="58" customFormat="1" x14ac:dyDescent="0.25">
      <c r="A10" s="56">
        <v>10</v>
      </c>
      <c r="B10" s="56" t="s">
        <v>217</v>
      </c>
      <c r="C10" s="57" t="s">
        <v>265</v>
      </c>
      <c r="D10" s="142">
        <v>26151</v>
      </c>
      <c r="E10" s="142">
        <v>26151</v>
      </c>
      <c r="F10" s="142">
        <v>13227.045</v>
      </c>
      <c r="G10" s="142"/>
      <c r="H10" s="142"/>
      <c r="I10" s="142"/>
      <c r="J10" s="146">
        <v>966</v>
      </c>
      <c r="K10" s="146">
        <v>966</v>
      </c>
      <c r="L10" s="146">
        <v>322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7">
        <v>60487</v>
      </c>
      <c r="W10" s="147">
        <v>66779</v>
      </c>
      <c r="X10" s="147">
        <f>27038.766+3264.235</f>
        <v>30303.001</v>
      </c>
      <c r="Y10" s="147"/>
      <c r="Z10" s="147">
        <v>483.49900000000002</v>
      </c>
      <c r="AA10" s="147">
        <v>483.49900000000002</v>
      </c>
      <c r="AB10" s="148">
        <f>D10+G10+J10+M10+P10+S10+V10</f>
        <v>87604</v>
      </c>
      <c r="AC10" s="148">
        <f t="shared" ref="AC10" si="4">E10+H10+K10+N10+Q10+T10+W10</f>
        <v>93896</v>
      </c>
      <c r="AD10" s="148">
        <f t="shared" si="3"/>
        <v>94379.498999999996</v>
      </c>
      <c r="AE10" s="148">
        <f t="shared" si="3"/>
        <v>44335.545000000006</v>
      </c>
      <c r="AF10" s="279">
        <f t="shared" si="2"/>
        <v>0.46975821518187977</v>
      </c>
    </row>
    <row r="11" spans="1:32" s="58" customFormat="1" x14ac:dyDescent="0.25">
      <c r="A11" s="56">
        <v>11</v>
      </c>
      <c r="B11" s="56" t="s">
        <v>211</v>
      </c>
      <c r="C11" s="57" t="s">
        <v>266</v>
      </c>
      <c r="D11" s="145"/>
      <c r="E11" s="145"/>
      <c r="F11" s="145">
        <v>38.024999999999999</v>
      </c>
      <c r="G11" s="145"/>
      <c r="H11" s="145"/>
      <c r="I11" s="145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>
        <v>10637</v>
      </c>
      <c r="W11" s="147">
        <v>13166</v>
      </c>
      <c r="X11" s="147">
        <v>6057.73</v>
      </c>
      <c r="Y11" s="147"/>
      <c r="Z11" s="147"/>
      <c r="AA11" s="147"/>
      <c r="AB11" s="148">
        <f t="shared" si="0"/>
        <v>10637</v>
      </c>
      <c r="AC11" s="192">
        <v>4</v>
      </c>
      <c r="AD11" s="148">
        <f t="shared" si="3"/>
        <v>13166</v>
      </c>
      <c r="AE11" s="148">
        <f t="shared" si="3"/>
        <v>6095.7549999999992</v>
      </c>
      <c r="AF11" s="279">
        <f t="shared" si="2"/>
        <v>0.46299217681907939</v>
      </c>
    </row>
    <row r="12" spans="1:32" s="58" customFormat="1" x14ac:dyDescent="0.25">
      <c r="A12" s="56">
        <v>12</v>
      </c>
      <c r="B12" s="56" t="s">
        <v>211</v>
      </c>
      <c r="C12" s="57" t="s">
        <v>354</v>
      </c>
      <c r="D12" s="145"/>
      <c r="E12" s="145"/>
      <c r="F12" s="145"/>
      <c r="G12" s="145"/>
      <c r="H12" s="145"/>
      <c r="I12" s="145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>
        <v>8912</v>
      </c>
      <c r="W12" s="147">
        <v>12208</v>
      </c>
      <c r="X12" s="147">
        <v>5663.317</v>
      </c>
      <c r="Y12" s="147"/>
      <c r="Z12" s="147"/>
      <c r="AA12" s="147"/>
      <c r="AB12" s="148">
        <f t="shared" si="0"/>
        <v>8912</v>
      </c>
      <c r="AC12" s="192"/>
      <c r="AD12" s="148">
        <f t="shared" si="3"/>
        <v>12208</v>
      </c>
      <c r="AE12" s="148">
        <f t="shared" si="3"/>
        <v>5663.317</v>
      </c>
      <c r="AF12" s="279">
        <f t="shared" si="2"/>
        <v>0.46390211336828308</v>
      </c>
    </row>
    <row r="13" spans="1:32" s="58" customFormat="1" x14ac:dyDescent="0.25">
      <c r="A13" s="56">
        <v>13</v>
      </c>
      <c r="B13" s="56" t="s">
        <v>211</v>
      </c>
      <c r="C13" s="57" t="s">
        <v>267</v>
      </c>
      <c r="D13" s="142">
        <v>4857</v>
      </c>
      <c r="E13" s="142">
        <v>4857</v>
      </c>
      <c r="F13" s="142">
        <v>2414.02</v>
      </c>
      <c r="G13" s="145"/>
      <c r="H13" s="145"/>
      <c r="I13" s="14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>
        <v>6614</v>
      </c>
      <c r="W13" s="147">
        <v>6868</v>
      </c>
      <c r="X13" s="147">
        <v>1966.817</v>
      </c>
      <c r="Y13" s="147"/>
      <c r="Z13" s="147"/>
      <c r="AA13" s="147"/>
      <c r="AB13" s="148">
        <f t="shared" si="0"/>
        <v>11471</v>
      </c>
      <c r="AC13" s="192">
        <v>10237</v>
      </c>
      <c r="AD13" s="148">
        <f t="shared" si="3"/>
        <v>11725</v>
      </c>
      <c r="AE13" s="148">
        <f t="shared" si="3"/>
        <v>4380.8369999999995</v>
      </c>
      <c r="AF13" s="279">
        <f t="shared" si="2"/>
        <v>0.37363215351812362</v>
      </c>
    </row>
    <row r="14" spans="1:32" x14ac:dyDescent="0.25">
      <c r="A14" s="46">
        <v>14</v>
      </c>
      <c r="B14" s="46" t="s">
        <v>211</v>
      </c>
      <c r="C14" s="52" t="s">
        <v>268</v>
      </c>
      <c r="D14" s="149"/>
      <c r="E14" s="149"/>
      <c r="F14" s="149"/>
      <c r="G14" s="149"/>
      <c r="H14" s="149"/>
      <c r="I14" s="149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1">
        <v>9539</v>
      </c>
      <c r="W14" s="151">
        <v>9944</v>
      </c>
      <c r="X14" s="151">
        <v>4455.13</v>
      </c>
      <c r="Y14" s="151"/>
      <c r="Z14" s="151"/>
      <c r="AA14" s="151"/>
      <c r="AB14" s="152">
        <f t="shared" si="0"/>
        <v>9539</v>
      </c>
      <c r="AC14" s="193"/>
      <c r="AD14" s="148">
        <f t="shared" si="3"/>
        <v>9944</v>
      </c>
      <c r="AE14" s="148">
        <f t="shared" si="3"/>
        <v>4455.13</v>
      </c>
      <c r="AF14" s="279">
        <f t="shared" si="2"/>
        <v>0.44802192276749803</v>
      </c>
    </row>
    <row r="15" spans="1:32" x14ac:dyDescent="0.25">
      <c r="A15" s="46">
        <v>15</v>
      </c>
      <c r="B15" s="46" t="s">
        <v>217</v>
      </c>
      <c r="C15" s="52" t="s">
        <v>234</v>
      </c>
      <c r="D15" s="149"/>
      <c r="E15" s="149"/>
      <c r="F15" s="149"/>
      <c r="G15" s="149"/>
      <c r="H15" s="149"/>
      <c r="I15" s="149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1">
        <v>2562</v>
      </c>
      <c r="W15" s="151">
        <v>2562</v>
      </c>
      <c r="X15" s="151">
        <v>1325.383</v>
      </c>
      <c r="Y15" s="151"/>
      <c r="Z15" s="151"/>
      <c r="AA15" s="151"/>
      <c r="AB15" s="152">
        <f t="shared" si="0"/>
        <v>2562</v>
      </c>
      <c r="AC15" s="193">
        <v>5328</v>
      </c>
      <c r="AD15" s="148">
        <f t="shared" si="3"/>
        <v>2562</v>
      </c>
      <c r="AE15" s="148">
        <f t="shared" si="3"/>
        <v>1325.383</v>
      </c>
      <c r="AF15" s="279">
        <f t="shared" si="2"/>
        <v>0.51732357533177209</v>
      </c>
    </row>
    <row r="16" spans="1:32" x14ac:dyDescent="0.25">
      <c r="A16" s="46">
        <v>17</v>
      </c>
      <c r="B16" s="46" t="s">
        <v>217</v>
      </c>
      <c r="C16" s="52" t="s">
        <v>269</v>
      </c>
      <c r="D16" s="149">
        <v>1430</v>
      </c>
      <c r="E16" s="149">
        <v>1430</v>
      </c>
      <c r="F16" s="149">
        <v>858.30799999999999</v>
      </c>
      <c r="G16" s="149"/>
      <c r="H16" s="149"/>
      <c r="I16" s="149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1"/>
      <c r="W16" s="151"/>
      <c r="X16" s="151"/>
      <c r="Y16" s="151"/>
      <c r="Z16" s="151"/>
      <c r="AA16" s="151"/>
      <c r="AB16" s="152">
        <f t="shared" si="0"/>
        <v>1430</v>
      </c>
      <c r="AC16" s="193">
        <v>1384</v>
      </c>
      <c r="AD16" s="148">
        <f t="shared" si="3"/>
        <v>1430</v>
      </c>
      <c r="AE16" s="148">
        <f t="shared" si="3"/>
        <v>858.30799999999999</v>
      </c>
      <c r="AF16" s="279">
        <f t="shared" si="2"/>
        <v>0.6002153846153846</v>
      </c>
    </row>
    <row r="17" spans="1:32" ht="15.75" x14ac:dyDescent="0.25">
      <c r="A17" s="46">
        <v>18</v>
      </c>
      <c r="B17" s="46"/>
      <c r="C17" s="50" t="s">
        <v>257</v>
      </c>
      <c r="D17" s="152">
        <f t="shared" ref="D17:AD17" si="5">SUM(D5:D16)</f>
        <v>32438</v>
      </c>
      <c r="E17" s="152">
        <f t="shared" ref="E17:F17" si="6">SUM(E5:E16)</f>
        <v>32438</v>
      </c>
      <c r="F17" s="515">
        <f t="shared" si="6"/>
        <v>16537.398000000001</v>
      </c>
      <c r="G17" s="152">
        <f t="shared" si="5"/>
        <v>0</v>
      </c>
      <c r="H17" s="152">
        <f t="shared" ref="H17:I17" si="7">SUM(H5:H16)</f>
        <v>0</v>
      </c>
      <c r="I17" s="152">
        <f t="shared" si="7"/>
        <v>0</v>
      </c>
      <c r="J17" s="152">
        <f t="shared" si="5"/>
        <v>966</v>
      </c>
      <c r="K17" s="152">
        <f t="shared" ref="K17" si="8">SUM(K5:K16)</f>
        <v>966</v>
      </c>
      <c r="L17" s="515">
        <f>SUM(L5:L16)</f>
        <v>322</v>
      </c>
      <c r="M17" s="152">
        <f t="shared" si="5"/>
        <v>0</v>
      </c>
      <c r="N17" s="152">
        <f t="shared" ref="N17:O17" si="9">SUM(N5:N16)</f>
        <v>0</v>
      </c>
      <c r="O17" s="152">
        <f t="shared" si="9"/>
        <v>0</v>
      </c>
      <c r="P17" s="152">
        <f t="shared" si="5"/>
        <v>0</v>
      </c>
      <c r="Q17" s="152">
        <f t="shared" ref="Q17:R17" si="10">SUM(Q5:Q16)</f>
        <v>0</v>
      </c>
      <c r="R17" s="152">
        <f t="shared" si="10"/>
        <v>0</v>
      </c>
      <c r="S17" s="152">
        <f t="shared" si="5"/>
        <v>0</v>
      </c>
      <c r="T17" s="152">
        <f t="shared" ref="T17:U17" si="11">SUM(T5:T16)</f>
        <v>0</v>
      </c>
      <c r="U17" s="152">
        <f t="shared" si="11"/>
        <v>0</v>
      </c>
      <c r="V17" s="152">
        <f t="shared" si="5"/>
        <v>110751</v>
      </c>
      <c r="W17" s="152">
        <f t="shared" ref="W17:Z17" si="12">SUM(W5:W16)</f>
        <v>123790.8</v>
      </c>
      <c r="X17" s="152">
        <f t="shared" ref="X17" si="13">SUM(X5:X16)</f>
        <v>55251.201000000008</v>
      </c>
      <c r="Y17" s="152">
        <f t="shared" si="12"/>
        <v>0</v>
      </c>
      <c r="Z17" s="152">
        <f t="shared" si="12"/>
        <v>483.49900000000002</v>
      </c>
      <c r="AA17" s="515">
        <f t="shared" ref="AA17" si="14">SUM(AA5:AA16)</f>
        <v>483.49900000000002</v>
      </c>
      <c r="AB17" s="152">
        <f t="shared" si="5"/>
        <v>144155</v>
      </c>
      <c r="AC17" s="152">
        <f t="shared" si="5"/>
        <v>111714</v>
      </c>
      <c r="AD17" s="152">
        <f t="shared" si="5"/>
        <v>157678.299</v>
      </c>
      <c r="AE17" s="152">
        <f t="shared" ref="AE17" si="15">SUM(AE5:AE16)</f>
        <v>72594.098000000013</v>
      </c>
      <c r="AF17" s="279">
        <f t="shared" si="2"/>
        <v>0.46039371594184952</v>
      </c>
    </row>
    <row r="18" spans="1:32" x14ac:dyDescent="0.25">
      <c r="A18" s="46">
        <v>19</v>
      </c>
      <c r="B18" s="59"/>
      <c r="C18" s="60" t="s">
        <v>242</v>
      </c>
      <c r="D18" s="153">
        <f t="shared" ref="D18:AD18" si="16">SUMIF($B5:$B16,"kötelező",D5:D16)</f>
        <v>4857</v>
      </c>
      <c r="E18" s="153">
        <f t="shared" ref="E18:F18" si="17">SUMIF($B5:$B16,"kötelező",E5:E16)</f>
        <v>4857</v>
      </c>
      <c r="F18" s="153">
        <f t="shared" si="17"/>
        <v>2452.0450000000001</v>
      </c>
      <c r="G18" s="153">
        <f t="shared" si="16"/>
        <v>0</v>
      </c>
      <c r="H18" s="153">
        <f t="shared" ref="H18:I18" si="18">SUMIF($B5:$B16,"kötelező",H5:H16)</f>
        <v>0</v>
      </c>
      <c r="I18" s="153">
        <f t="shared" si="18"/>
        <v>0</v>
      </c>
      <c r="J18" s="153">
        <f t="shared" si="16"/>
        <v>0</v>
      </c>
      <c r="K18" s="153">
        <f t="shared" ref="K18:L18" si="19">SUMIF($B5:$B16,"kötelező",K5:K16)</f>
        <v>0</v>
      </c>
      <c r="L18" s="153">
        <f t="shared" si="19"/>
        <v>0</v>
      </c>
      <c r="M18" s="153">
        <f t="shared" si="16"/>
        <v>0</v>
      </c>
      <c r="N18" s="153">
        <f t="shared" ref="N18:O18" si="20">SUMIF($B5:$B16,"kötelező",N5:N16)</f>
        <v>0</v>
      </c>
      <c r="O18" s="153">
        <f t="shared" si="20"/>
        <v>0</v>
      </c>
      <c r="P18" s="153">
        <f t="shared" si="16"/>
        <v>0</v>
      </c>
      <c r="Q18" s="153">
        <f t="shared" ref="Q18:R18" si="21">SUMIF($B5:$B16,"kötelező",Q5:Q16)</f>
        <v>0</v>
      </c>
      <c r="R18" s="153">
        <f t="shared" si="21"/>
        <v>0</v>
      </c>
      <c r="S18" s="153">
        <f t="shared" si="16"/>
        <v>0</v>
      </c>
      <c r="T18" s="153">
        <f t="shared" ref="T18:U18" si="22">SUMIF($B5:$B16,"kötelező",T5:T16)</f>
        <v>0</v>
      </c>
      <c r="U18" s="153">
        <f t="shared" si="22"/>
        <v>0</v>
      </c>
      <c r="V18" s="153">
        <f t="shared" si="16"/>
        <v>47013</v>
      </c>
      <c r="W18" s="153">
        <f t="shared" ref="W18:Z18" si="23">SUMIF($B5:$B16,"kötelező",W5:W16)</f>
        <v>53655</v>
      </c>
      <c r="X18" s="153">
        <f t="shared" ref="X18" si="24">SUMIF($B5:$B16,"kötelező",X5:X16)</f>
        <v>23361.208999999999</v>
      </c>
      <c r="Y18" s="153">
        <f t="shared" si="23"/>
        <v>0</v>
      </c>
      <c r="Z18" s="153">
        <f t="shared" si="23"/>
        <v>0</v>
      </c>
      <c r="AA18" s="153">
        <f t="shared" ref="AA18" si="25">SUMIF($B5:$B16,"kötelező",AA5:AA16)</f>
        <v>0</v>
      </c>
      <c r="AB18" s="153">
        <f t="shared" si="16"/>
        <v>51870</v>
      </c>
      <c r="AC18" s="153">
        <f t="shared" si="16"/>
        <v>11093</v>
      </c>
      <c r="AD18" s="153">
        <f t="shared" si="16"/>
        <v>58512</v>
      </c>
      <c r="AE18" s="153">
        <f t="shared" ref="AE18" si="26">SUMIF($B5:$B16,"kötelező",AE5:AE16)</f>
        <v>25813.254000000001</v>
      </c>
      <c r="AF18" s="274">
        <f t="shared" si="2"/>
        <v>0.44116171041837571</v>
      </c>
    </row>
    <row r="19" spans="1:32" x14ac:dyDescent="0.25">
      <c r="A19" s="46">
        <v>20</v>
      </c>
      <c r="B19" s="59"/>
      <c r="C19" s="60" t="s">
        <v>243</v>
      </c>
      <c r="D19" s="153">
        <f t="shared" ref="D19:AD19" si="27">SUMIF($B5:$B16,"nem kötelező",D5:D16)</f>
        <v>27581</v>
      </c>
      <c r="E19" s="153">
        <f t="shared" ref="E19:F19" si="28">SUMIF($B5:$B16,"nem kötelező",E5:E16)</f>
        <v>27581</v>
      </c>
      <c r="F19" s="153">
        <f t="shared" si="28"/>
        <v>14085.352999999999</v>
      </c>
      <c r="G19" s="153">
        <f t="shared" si="27"/>
        <v>0</v>
      </c>
      <c r="H19" s="153">
        <f t="shared" ref="H19:I19" si="29">SUMIF($B5:$B16,"nem kötelező",H5:H16)</f>
        <v>0</v>
      </c>
      <c r="I19" s="153">
        <f t="shared" si="29"/>
        <v>0</v>
      </c>
      <c r="J19" s="153">
        <f t="shared" si="27"/>
        <v>966</v>
      </c>
      <c r="K19" s="153">
        <f t="shared" ref="K19:L19" si="30">SUMIF($B5:$B16,"nem kötelező",K5:K16)</f>
        <v>966</v>
      </c>
      <c r="L19" s="153">
        <f t="shared" si="30"/>
        <v>322</v>
      </c>
      <c r="M19" s="153">
        <f t="shared" si="27"/>
        <v>0</v>
      </c>
      <c r="N19" s="153">
        <f t="shared" ref="N19:O19" si="31">SUMIF($B5:$B16,"nem kötelező",N5:N16)</f>
        <v>0</v>
      </c>
      <c r="O19" s="153">
        <f t="shared" si="31"/>
        <v>0</v>
      </c>
      <c r="P19" s="153">
        <f t="shared" si="27"/>
        <v>0</v>
      </c>
      <c r="Q19" s="153">
        <f t="shared" ref="Q19:R19" si="32">SUMIF($B5:$B16,"nem kötelező",Q5:Q16)</f>
        <v>0</v>
      </c>
      <c r="R19" s="153">
        <f t="shared" si="32"/>
        <v>0</v>
      </c>
      <c r="S19" s="153">
        <f t="shared" si="27"/>
        <v>0</v>
      </c>
      <c r="T19" s="153">
        <f t="shared" ref="T19:U19" si="33">SUMIF($B5:$B16,"nem kötelező",T5:T16)</f>
        <v>0</v>
      </c>
      <c r="U19" s="153">
        <f t="shared" si="33"/>
        <v>0</v>
      </c>
      <c r="V19" s="153">
        <f t="shared" si="27"/>
        <v>63738</v>
      </c>
      <c r="W19" s="153">
        <f t="shared" ref="W19:Z19" si="34">SUMIF($B5:$B16,"nem kötelező",W5:W16)</f>
        <v>70135.8</v>
      </c>
      <c r="X19" s="153">
        <f t="shared" ref="X19" si="35">SUMIF($B5:$B16,"nem kötelező",X5:X16)</f>
        <v>31889.992000000002</v>
      </c>
      <c r="Y19" s="153">
        <f t="shared" si="34"/>
        <v>0</v>
      </c>
      <c r="Z19" s="153">
        <f t="shared" si="34"/>
        <v>483.49900000000002</v>
      </c>
      <c r="AA19" s="153">
        <f t="shared" ref="AA19" si="36">SUMIF($B5:$B16,"nem kötelező",AA5:AA16)</f>
        <v>483.49900000000002</v>
      </c>
      <c r="AB19" s="153">
        <f t="shared" si="27"/>
        <v>92285</v>
      </c>
      <c r="AC19" s="153">
        <f t="shared" si="27"/>
        <v>100621</v>
      </c>
      <c r="AD19" s="153">
        <f t="shared" si="27"/>
        <v>99166.298999999999</v>
      </c>
      <c r="AE19" s="153">
        <f t="shared" ref="AE19" si="37">SUMIF($B5:$B16,"nem kötelező",AE5:AE16)</f>
        <v>46780.844000000005</v>
      </c>
      <c r="AF19" s="274">
        <f t="shared" si="2"/>
        <v>0.4717413523721401</v>
      </c>
    </row>
    <row r="20" spans="1:32" x14ac:dyDescent="0.25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</sheetData>
  <mergeCells count="10">
    <mergeCell ref="P3:R3"/>
    <mergeCell ref="S3:U3"/>
    <mergeCell ref="V3:X3"/>
    <mergeCell ref="Y3:AA3"/>
    <mergeCell ref="C2:AF2"/>
    <mergeCell ref="AB3:AF3"/>
    <mergeCell ref="D3:F3"/>
    <mergeCell ref="G3:I3"/>
    <mergeCell ref="J3:L3"/>
    <mergeCell ref="M3:O3"/>
  </mergeCells>
  <printOptions horizontalCentered="1"/>
  <pageMargins left="0.70866141732283472" right="0.1574803149606299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10</vt:i4>
      </vt:variant>
    </vt:vector>
  </HeadingPairs>
  <TitlesOfParts>
    <vt:vector size="28" baseType="lpstr">
      <vt:lpstr>1.1.összevont</vt:lpstr>
      <vt:lpstr>1.2.kötelező</vt:lpstr>
      <vt:lpstr>1.3.önként</vt:lpstr>
      <vt:lpstr>1.4.államigazg</vt:lpstr>
      <vt:lpstr>2.1.műkmérleg</vt:lpstr>
      <vt:lpstr>2.2.felhmérleg</vt:lpstr>
      <vt:lpstr>3.1 Önk bev.</vt:lpstr>
      <vt:lpstr>3.2 PMH bev.</vt:lpstr>
      <vt:lpstr>3.3 GKP bev</vt:lpstr>
      <vt:lpstr>3.4 VE bev</vt:lpstr>
      <vt:lpstr>3.5 MH bev.</vt:lpstr>
      <vt:lpstr>4.1.Önk kiad</vt:lpstr>
      <vt:lpstr>4.2.PMH kiad</vt:lpstr>
      <vt:lpstr>4.3. GKP kiad</vt:lpstr>
      <vt:lpstr>4.4. VE kiad</vt:lpstr>
      <vt:lpstr>4.5. MH kiad</vt:lpstr>
      <vt:lpstr>5.Beruh</vt:lpstr>
      <vt:lpstr>6.Felújít</vt:lpstr>
      <vt:lpstr>'3.1 Önk bev.'!Nyomtatási_terület</vt:lpstr>
      <vt:lpstr>'3.2 PMH bev.'!Nyomtatási_terület</vt:lpstr>
      <vt:lpstr>'3.3 GKP bev'!Nyomtatási_terület</vt:lpstr>
      <vt:lpstr>'3.4 VE bev'!Nyomtatási_terület</vt:lpstr>
      <vt:lpstr>'3.5 MH bev.'!Nyomtatási_terület</vt:lpstr>
      <vt:lpstr>'4.1.Önk kiad'!Nyomtatási_terület</vt:lpstr>
      <vt:lpstr>'4.2.PMH kiad'!Nyomtatási_terület</vt:lpstr>
      <vt:lpstr>'4.3. GKP kiad'!Nyomtatási_terület</vt:lpstr>
      <vt:lpstr>'4.4. VE kiad'!Nyomtatási_terület</vt:lpstr>
      <vt:lpstr>'4.5. MH kiad'!Nyomtatási_terület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2018-08-24T08:41:16Z</dcterms:modified>
</cp:coreProperties>
</file>