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45" windowWidth="14805" windowHeight="7170" firstSheet="7" activeTab="16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</sheets>
  <definedNames>
    <definedName name="_xlnm._FilterDatabase" localSheetId="6" hidden="1">'3.1 Önk bev.'!$A$5:$AO$86</definedName>
    <definedName name="_xlnm._FilterDatabase" localSheetId="11" hidden="1">'4.1.Önk kiad'!$A$4:$AZ$4</definedName>
    <definedName name="_xlnm.Print_Area" localSheetId="6">'3.1 Önk bev.'!$A$1:$AM$86</definedName>
    <definedName name="_xlnm.Print_Area" localSheetId="7">'3.2 PMH bev.'!$A$1:$AE$10</definedName>
    <definedName name="_xlnm.Print_Area" localSheetId="8">'3.3 GKP bev'!$A$1:$AF$19</definedName>
    <definedName name="_xlnm.Print_Area" localSheetId="9">'3.4 VE bev'!$A$1:$AB$17</definedName>
    <definedName name="_xlnm.Print_Area" localSheetId="10">'3.5 MH bev.'!$A$1:$AE$15</definedName>
    <definedName name="_xlnm.Print_Area" localSheetId="11">'4.1.Önk kiad'!$A$1:$AV$93</definedName>
    <definedName name="_xlnm.Print_Area" localSheetId="12">'4.2.PMH kiad'!$A$1:$AJ$12</definedName>
    <definedName name="_xlnm.Print_Area" localSheetId="13">'4.3. GKP kiad'!$A$1:$AJ$21</definedName>
    <definedName name="_xlnm.Print_Area" localSheetId="14">'4.4. VE kiad'!$A$1:$AJ$11</definedName>
    <definedName name="_xlnm.Print_Area" localSheetId="15">'4.5. MH kiad'!$A$1:$AJ$17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AV77" i="26" l="1"/>
  <c r="AV78" i="26"/>
  <c r="AV79" i="26"/>
  <c r="AV80" i="26"/>
  <c r="AV81" i="26"/>
  <c r="AV82" i="26"/>
  <c r="AV83" i="26"/>
  <c r="AV84" i="26"/>
  <c r="AV85" i="26"/>
  <c r="AV86" i="26"/>
  <c r="AV87" i="26"/>
  <c r="AV88" i="26"/>
  <c r="AV90" i="26"/>
  <c r="AV91" i="26"/>
  <c r="AV92" i="26"/>
  <c r="AV93" i="26"/>
  <c r="AV76" i="26"/>
  <c r="G9" i="1"/>
  <c r="J22" i="7" l="1"/>
  <c r="D22" i="7"/>
  <c r="J23" i="2"/>
  <c r="J22" i="2"/>
  <c r="D22" i="2"/>
  <c r="J12" i="2"/>
  <c r="F13" i="2"/>
  <c r="AH31" i="26"/>
  <c r="F19" i="5"/>
  <c r="E12" i="4"/>
  <c r="E10" i="4"/>
  <c r="F29" i="1"/>
  <c r="G7" i="20"/>
  <c r="G63" i="18" l="1"/>
  <c r="G71" i="18"/>
  <c r="AP63" i="26" l="1"/>
  <c r="AP59" i="26"/>
  <c r="AL50" i="22"/>
  <c r="AL51" i="22"/>
  <c r="AL60" i="22"/>
  <c r="S63" i="22"/>
  <c r="M16" i="22"/>
  <c r="AK38" i="22" l="1"/>
  <c r="AK39" i="22"/>
  <c r="AK37" i="22"/>
  <c r="AJ39" i="22"/>
  <c r="M63" i="22" l="1"/>
  <c r="X10" i="24"/>
  <c r="W17" i="24"/>
  <c r="I7" i="27" l="1"/>
  <c r="F7" i="27"/>
  <c r="AA6" i="25" l="1"/>
  <c r="X8" i="31" l="1"/>
  <c r="X5" i="31"/>
  <c r="AD11" i="31"/>
  <c r="F13" i="31"/>
  <c r="AI11" i="30"/>
  <c r="I13" i="30"/>
  <c r="F59" i="1" l="1"/>
  <c r="E15" i="7" l="1"/>
  <c r="G11" i="20" l="1"/>
  <c r="G13" i="20"/>
  <c r="F13" i="20"/>
  <c r="H57" i="18"/>
  <c r="H55" i="18"/>
  <c r="H54" i="18"/>
  <c r="H53" i="18"/>
  <c r="H69" i="18"/>
  <c r="H70" i="18"/>
  <c r="G32" i="18"/>
  <c r="G40" i="18"/>
  <c r="G50" i="18" l="1"/>
  <c r="G58" i="18"/>
  <c r="G72" i="18" l="1"/>
  <c r="K20" i="2"/>
  <c r="K17" i="2"/>
  <c r="K9" i="2"/>
  <c r="K10" i="2"/>
  <c r="K11" i="2"/>
  <c r="K12" i="2"/>
  <c r="K13" i="2"/>
  <c r="K8" i="2"/>
  <c r="F17" i="2"/>
  <c r="F9" i="2"/>
  <c r="F10" i="2"/>
  <c r="F11" i="2"/>
  <c r="F12" i="2"/>
  <c r="F8" i="2"/>
  <c r="E16" i="5" l="1"/>
  <c r="N64" i="22"/>
  <c r="F25" i="1" l="1"/>
  <c r="F24" i="1" s="1"/>
  <c r="AL78" i="22"/>
  <c r="AL68" i="22"/>
  <c r="P66" i="22"/>
  <c r="P84" i="22" s="1"/>
  <c r="AL69" i="22"/>
  <c r="AL70" i="22"/>
  <c r="AD5" i="31"/>
  <c r="AC5" i="31"/>
  <c r="AI8" i="28"/>
  <c r="L17" i="24"/>
  <c r="AQ63" i="26"/>
  <c r="AQ39" i="26"/>
  <c r="AQ45" i="26"/>
  <c r="AQ46" i="26"/>
  <c r="AQ47" i="26"/>
  <c r="AQ48" i="26"/>
  <c r="AQ49" i="26"/>
  <c r="AQ50" i="26"/>
  <c r="AQ51" i="26"/>
  <c r="AQ52" i="26"/>
  <c r="AQ53" i="26"/>
  <c r="AQ54" i="26"/>
  <c r="AQ55" i="26"/>
  <c r="AQ56" i="26"/>
  <c r="AQ57" i="26"/>
  <c r="AQ58" i="26"/>
  <c r="AQ60" i="26"/>
  <c r="AQ61" i="26"/>
  <c r="AQ62" i="26"/>
  <c r="AQ64" i="26"/>
  <c r="AQ23" i="26"/>
  <c r="AQ24" i="26"/>
  <c r="AQ25" i="26"/>
  <c r="AL39" i="22"/>
  <c r="AL53" i="22"/>
  <c r="AL54" i="22"/>
  <c r="AL55" i="22"/>
  <c r="AL56" i="22"/>
  <c r="AL57" i="22"/>
  <c r="AL58" i="22"/>
  <c r="AL59" i="22"/>
  <c r="AL43" i="22"/>
  <c r="J63" i="22"/>
  <c r="AM39" i="22" l="1"/>
  <c r="E13" i="20" l="1"/>
  <c r="D13" i="20"/>
  <c r="B13" i="20"/>
  <c r="F11" i="20"/>
  <c r="F71" i="18"/>
  <c r="E71" i="18"/>
  <c r="F66" i="18"/>
  <c r="E66" i="18"/>
  <c r="D66" i="18"/>
  <c r="B66" i="18"/>
  <c r="F58" i="18"/>
  <c r="E58" i="18"/>
  <c r="D50" i="18"/>
  <c r="D72" i="18" s="1"/>
  <c r="F40" i="18"/>
  <c r="E40" i="18"/>
  <c r="B40" i="18"/>
  <c r="F32" i="18"/>
  <c r="F50" i="18" s="1"/>
  <c r="F72" i="18" s="1"/>
  <c r="E32" i="18"/>
  <c r="B32" i="18"/>
  <c r="B50" i="18" s="1"/>
  <c r="B72" i="18" s="1"/>
  <c r="E50" i="18" l="1"/>
  <c r="E72" i="18" s="1"/>
  <c r="E15" i="30"/>
  <c r="F15" i="30"/>
  <c r="G15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AF15" i="30"/>
  <c r="AG15" i="30"/>
  <c r="E14" i="30"/>
  <c r="F14" i="30"/>
  <c r="G14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AG14" i="30"/>
  <c r="D15" i="30"/>
  <c r="D14" i="30"/>
  <c r="L13" i="30"/>
  <c r="M13" i="30"/>
  <c r="N13" i="30"/>
  <c r="O13" i="30"/>
  <c r="P13" i="30"/>
  <c r="Q13" i="30"/>
  <c r="R13" i="30"/>
  <c r="S13" i="30"/>
  <c r="T13" i="30"/>
  <c r="U13" i="30"/>
  <c r="V13" i="30"/>
  <c r="W13" i="30"/>
  <c r="X13" i="30"/>
  <c r="Y13" i="30"/>
  <c r="Z13" i="30"/>
  <c r="AA13" i="30"/>
  <c r="AB13" i="30"/>
  <c r="AC13" i="30"/>
  <c r="AD13" i="30"/>
  <c r="K13" i="30"/>
  <c r="J13" i="30"/>
  <c r="AI10" i="30"/>
  <c r="AJ10" i="30" s="1"/>
  <c r="AH10" i="30"/>
  <c r="AH12" i="30"/>
  <c r="AE10" i="30"/>
  <c r="AE12" i="30"/>
  <c r="AI6" i="27"/>
  <c r="AJ6" i="27" s="1"/>
  <c r="AH6" i="27"/>
  <c r="AP29" i="26"/>
  <c r="AP30" i="26"/>
  <c r="AP31" i="26"/>
  <c r="AP32" i="26"/>
  <c r="AP33" i="26"/>
  <c r="AP34" i="26"/>
  <c r="AP35" i="26"/>
  <c r="AP36" i="26"/>
  <c r="AP37" i="26"/>
  <c r="AP38" i="26"/>
  <c r="AP39" i="26"/>
  <c r="AR39" i="26" s="1"/>
  <c r="AP40" i="26"/>
  <c r="AP41" i="26"/>
  <c r="AP42" i="26"/>
  <c r="AP43" i="26"/>
  <c r="AP44" i="26"/>
  <c r="AP45" i="26"/>
  <c r="AR45" i="26" s="1"/>
  <c r="AP46" i="26"/>
  <c r="AR46" i="26" s="1"/>
  <c r="AP47" i="26"/>
  <c r="AR47" i="26" s="1"/>
  <c r="AP48" i="26"/>
  <c r="AR48" i="26" s="1"/>
  <c r="AP49" i="26"/>
  <c r="AR49" i="26" s="1"/>
  <c r="AP50" i="26"/>
  <c r="AR50" i="26" s="1"/>
  <c r="AP51" i="26"/>
  <c r="AR51" i="26" s="1"/>
  <c r="AP52" i="26"/>
  <c r="AR52" i="26" s="1"/>
  <c r="AP53" i="26"/>
  <c r="AR53" i="26" s="1"/>
  <c r="AP54" i="26"/>
  <c r="AR54" i="26" s="1"/>
  <c r="AP55" i="26"/>
  <c r="AR55" i="26" s="1"/>
  <c r="AP56" i="26"/>
  <c r="AP57" i="26"/>
  <c r="AP58" i="26"/>
  <c r="AP60" i="26"/>
  <c r="AP61" i="26"/>
  <c r="AP62" i="26"/>
  <c r="AP64" i="26"/>
  <c r="AO48" i="26"/>
  <c r="AO49" i="26"/>
  <c r="AO50" i="26"/>
  <c r="AO51" i="26"/>
  <c r="AO52" i="26"/>
  <c r="AO53" i="26"/>
  <c r="AO54" i="26"/>
  <c r="AO55" i="26"/>
  <c r="AO56" i="26"/>
  <c r="AO57" i="26"/>
  <c r="AO58" i="26"/>
  <c r="AO60" i="26"/>
  <c r="AO61" i="26"/>
  <c r="AO62" i="26"/>
  <c r="AO64" i="26"/>
  <c r="AO39" i="26"/>
  <c r="AO40" i="26"/>
  <c r="AO41" i="26"/>
  <c r="AO42" i="26"/>
  <c r="AO43" i="26"/>
  <c r="AO44" i="26"/>
  <c r="AO45" i="26"/>
  <c r="AO46" i="26"/>
  <c r="AO47" i="26"/>
  <c r="AP23" i="26"/>
  <c r="AR23" i="26" s="1"/>
  <c r="AP24" i="26"/>
  <c r="AR24" i="26" s="1"/>
  <c r="AP25" i="26"/>
  <c r="AR25" i="26" s="1"/>
  <c r="AP26" i="26"/>
  <c r="AO25" i="26"/>
  <c r="AO24" i="26"/>
  <c r="AO23" i="26"/>
  <c r="L65" i="26"/>
  <c r="E76" i="26"/>
  <c r="E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Z13" i="31"/>
  <c r="AA13" i="31"/>
  <c r="D13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R15" i="31"/>
  <c r="S15" i="31"/>
  <c r="T15" i="31"/>
  <c r="U15" i="31"/>
  <c r="V15" i="31"/>
  <c r="W15" i="31"/>
  <c r="X15" i="31"/>
  <c r="Y15" i="31"/>
  <c r="Z15" i="31"/>
  <c r="AA15" i="31"/>
  <c r="E14" i="31"/>
  <c r="F14" i="31"/>
  <c r="G14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Z14" i="31"/>
  <c r="AA14" i="31"/>
  <c r="AC14" i="31"/>
  <c r="D15" i="31"/>
  <c r="D14" i="31"/>
  <c r="AD10" i="31"/>
  <c r="AD12" i="31"/>
  <c r="AC10" i="31"/>
  <c r="AC13" i="31" s="1"/>
  <c r="AC12" i="31"/>
  <c r="AB10" i="31"/>
  <c r="AB12" i="31"/>
  <c r="AC7" i="23"/>
  <c r="AC6" i="23"/>
  <c r="AD6" i="23"/>
  <c r="AB6" i="23"/>
  <c r="AK78" i="22"/>
  <c r="AK73" i="22"/>
  <c r="AK69" i="22"/>
  <c r="AK70" i="22"/>
  <c r="AI69" i="22"/>
  <c r="AI70" i="22"/>
  <c r="AK72" i="22"/>
  <c r="AI72" i="22"/>
  <c r="AJ72" i="22"/>
  <c r="AI73" i="22"/>
  <c r="O66" i="22"/>
  <c r="N66" i="22"/>
  <c r="L64" i="22"/>
  <c r="K64" i="22"/>
  <c r="AL11" i="22"/>
  <c r="AM11" i="22" s="1"/>
  <c r="AK11" i="22"/>
  <c r="AL18" i="22"/>
  <c r="AL19" i="22"/>
  <c r="AL20" i="22"/>
  <c r="AL21" i="22"/>
  <c r="AK18" i="22"/>
  <c r="AK19" i="22"/>
  <c r="AK20" i="22"/>
  <c r="AL38" i="22"/>
  <c r="AM38" i="22" s="1"/>
  <c r="AI39" i="22"/>
  <c r="AL27" i="22"/>
  <c r="AL28" i="22"/>
  <c r="AK27" i="22"/>
  <c r="AK28" i="22"/>
  <c r="AK43" i="22"/>
  <c r="AM43" i="22" s="1"/>
  <c r="AI43" i="22"/>
  <c r="AI51" i="22"/>
  <c r="AI52" i="22"/>
  <c r="AI53" i="22"/>
  <c r="AI54" i="22"/>
  <c r="AI55" i="22"/>
  <c r="AI56" i="22"/>
  <c r="AI57" i="22"/>
  <c r="AI58" i="22"/>
  <c r="AI59" i="22"/>
  <c r="AI61" i="22"/>
  <c r="AK53" i="22"/>
  <c r="AM53" i="22" s="1"/>
  <c r="AK54" i="22"/>
  <c r="AM54" i="22" s="1"/>
  <c r="AK55" i="22"/>
  <c r="AM55" i="22" s="1"/>
  <c r="AK56" i="22"/>
  <c r="AM56" i="22" s="1"/>
  <c r="AK57" i="22"/>
  <c r="AM57" i="22" s="1"/>
  <c r="AK58" i="22"/>
  <c r="AM58" i="22" s="1"/>
  <c r="AK59" i="22"/>
  <c r="AM59" i="22" s="1"/>
  <c r="AG64" i="22"/>
  <c r="AH64" i="22"/>
  <c r="AF66" i="22"/>
  <c r="AG66" i="22"/>
  <c r="AH66" i="22"/>
  <c r="AI49" i="22"/>
  <c r="AI28" i="22"/>
  <c r="AI27" i="22"/>
  <c r="AI20" i="22"/>
  <c r="AI19" i="22"/>
  <c r="AI18" i="22"/>
  <c r="AI11" i="22"/>
  <c r="C15" i="7"/>
  <c r="AM28" i="22" l="1"/>
  <c r="AM20" i="22"/>
  <c r="AM27" i="22"/>
  <c r="AM19" i="22"/>
  <c r="AM18" i="22"/>
  <c r="AE10" i="31"/>
  <c r="AC15" i="31"/>
  <c r="AE12" i="31"/>
  <c r="AE6" i="23"/>
  <c r="D16" i="5"/>
  <c r="C16" i="5"/>
  <c r="D65" i="4"/>
  <c r="C59" i="4"/>
  <c r="D59" i="1"/>
  <c r="E25" i="1"/>
  <c r="D25" i="1"/>
  <c r="E60" i="5" l="1"/>
  <c r="AI75" i="22"/>
  <c r="AI76" i="22"/>
  <c r="G72" i="26" l="1"/>
  <c r="F72" i="26"/>
  <c r="AE65" i="26" l="1"/>
  <c r="K9" i="7" l="1"/>
  <c r="K10" i="7"/>
  <c r="K13" i="7"/>
  <c r="K8" i="7"/>
  <c r="F9" i="7"/>
  <c r="F14" i="7"/>
  <c r="F17" i="7"/>
  <c r="F8" i="7"/>
  <c r="J15" i="7"/>
  <c r="E16" i="7"/>
  <c r="J20" i="2"/>
  <c r="J15" i="2"/>
  <c r="E16" i="2"/>
  <c r="E15" i="2"/>
  <c r="D15" i="2"/>
  <c r="F55" i="4"/>
  <c r="F56" i="4"/>
  <c r="F57" i="4"/>
  <c r="F58" i="4"/>
  <c r="F60" i="4"/>
  <c r="F63" i="4"/>
  <c r="F64" i="4"/>
  <c r="F69" i="4"/>
  <c r="F71" i="4"/>
  <c r="F83" i="4"/>
  <c r="E36" i="4"/>
  <c r="D47" i="4"/>
  <c r="E47" i="4"/>
  <c r="D46" i="4"/>
  <c r="E46" i="4"/>
  <c r="D45" i="4"/>
  <c r="E45" i="4"/>
  <c r="E48" i="4" s="1"/>
  <c r="E59" i="4"/>
  <c r="E54" i="4" s="1"/>
  <c r="E82" i="4"/>
  <c r="D77" i="4"/>
  <c r="E77" i="4"/>
  <c r="E73" i="4"/>
  <c r="F10" i="4"/>
  <c r="F11" i="4"/>
  <c r="F12" i="4"/>
  <c r="F13" i="4"/>
  <c r="F14" i="4"/>
  <c r="F18" i="4"/>
  <c r="F26" i="4"/>
  <c r="F27" i="4"/>
  <c r="F28" i="4"/>
  <c r="F29" i="4"/>
  <c r="F30" i="4"/>
  <c r="F31" i="4"/>
  <c r="F41" i="4"/>
  <c r="E16" i="4"/>
  <c r="E25" i="4"/>
  <c r="E20" i="4"/>
  <c r="E9" i="4"/>
  <c r="F56" i="5"/>
  <c r="F57" i="5"/>
  <c r="F58" i="5"/>
  <c r="F59" i="5"/>
  <c r="F64" i="5"/>
  <c r="F65" i="5"/>
  <c r="F67" i="5"/>
  <c r="F68" i="5"/>
  <c r="F70" i="5"/>
  <c r="F71" i="5"/>
  <c r="E88" i="5"/>
  <c r="E83" i="5"/>
  <c r="E78" i="5"/>
  <c r="E69" i="5"/>
  <c r="E55" i="5"/>
  <c r="E25" i="5"/>
  <c r="E24" i="5" s="1"/>
  <c r="E43" i="5"/>
  <c r="F18" i="5"/>
  <c r="F22" i="5"/>
  <c r="F23" i="5"/>
  <c r="F32" i="5"/>
  <c r="F34" i="5"/>
  <c r="F42" i="5"/>
  <c r="E49" i="5"/>
  <c r="E94" i="5" s="1"/>
  <c r="E20" i="5"/>
  <c r="E9" i="5"/>
  <c r="E94" i="6"/>
  <c r="F56" i="6"/>
  <c r="F57" i="6"/>
  <c r="F10" i="6"/>
  <c r="E88" i="6"/>
  <c r="E83" i="6"/>
  <c r="E78" i="6"/>
  <c r="E69" i="6"/>
  <c r="E55" i="6"/>
  <c r="E49" i="6"/>
  <c r="E43" i="6"/>
  <c r="E37" i="6"/>
  <c r="E24" i="6"/>
  <c r="E20" i="6"/>
  <c r="E16" i="6"/>
  <c r="E9" i="6"/>
  <c r="E36" i="6" s="1"/>
  <c r="E50" i="6" s="1"/>
  <c r="G55" i="1"/>
  <c r="G56" i="1"/>
  <c r="G57" i="1"/>
  <c r="G58" i="1"/>
  <c r="G60" i="1"/>
  <c r="G63" i="1"/>
  <c r="G64" i="1"/>
  <c r="G66" i="1"/>
  <c r="G67" i="1"/>
  <c r="G69" i="1"/>
  <c r="G70" i="1"/>
  <c r="G71" i="1"/>
  <c r="G83" i="1"/>
  <c r="E42" i="1"/>
  <c r="F42" i="1"/>
  <c r="F73" i="1"/>
  <c r="F15" i="2" l="1"/>
  <c r="E77" i="5"/>
  <c r="E89" i="5" s="1"/>
  <c r="E20" i="2"/>
  <c r="E20" i="7"/>
  <c r="E21" i="7" s="1"/>
  <c r="J23" i="7" s="1"/>
  <c r="J21" i="2"/>
  <c r="E77" i="6"/>
  <c r="E87" i="4"/>
  <c r="E68" i="4"/>
  <c r="E76" i="4" s="1"/>
  <c r="E24" i="4"/>
  <c r="J21" i="7"/>
  <c r="E36" i="5"/>
  <c r="E21" i="2" l="1"/>
  <c r="E93" i="5"/>
  <c r="E50" i="5"/>
  <c r="E93" i="6"/>
  <c r="E89" i="6"/>
  <c r="E93" i="4"/>
  <c r="E88" i="4"/>
  <c r="E35" i="4"/>
  <c r="E92" i="4" l="1"/>
  <c r="E49" i="4"/>
  <c r="F82" i="1"/>
  <c r="F77" i="1"/>
  <c r="F68" i="1"/>
  <c r="G10" i="1"/>
  <c r="G11" i="1"/>
  <c r="G12" i="1"/>
  <c r="G13" i="1"/>
  <c r="G14" i="1"/>
  <c r="G18" i="1"/>
  <c r="G19" i="1"/>
  <c r="G21" i="1"/>
  <c r="G22" i="1"/>
  <c r="G23" i="1"/>
  <c r="G25" i="1"/>
  <c r="G26" i="1"/>
  <c r="G27" i="1"/>
  <c r="G28" i="1"/>
  <c r="G29" i="1"/>
  <c r="G30" i="1"/>
  <c r="G31" i="1"/>
  <c r="G33" i="1"/>
  <c r="G41" i="1"/>
  <c r="F48" i="1"/>
  <c r="F20" i="1"/>
  <c r="F16" i="1"/>
  <c r="F9" i="1"/>
  <c r="F93" i="1" l="1"/>
  <c r="F87" i="1"/>
  <c r="F54" i="1"/>
  <c r="F76" i="1" s="1"/>
  <c r="F35" i="1"/>
  <c r="F49" i="1" s="1"/>
  <c r="F92" i="1" l="1"/>
  <c r="F88" i="1"/>
  <c r="AJ78" i="22"/>
  <c r="AI78" i="22"/>
  <c r="AK49" i="22" l="1"/>
  <c r="P64" i="22" l="1"/>
  <c r="P83" i="22" s="1"/>
  <c r="O64" i="22"/>
  <c r="O83" i="22" s="1"/>
  <c r="J74" i="26"/>
  <c r="J75" i="26"/>
  <c r="J92" i="26" s="1"/>
  <c r="G74" i="26"/>
  <c r="G90" i="26" s="1"/>
  <c r="G75" i="26"/>
  <c r="G92" i="26" s="1"/>
  <c r="AU90" i="26"/>
  <c r="AU91" i="26"/>
  <c r="AU92" i="26"/>
  <c r="AN91" i="26"/>
  <c r="AK91" i="26"/>
  <c r="AH91" i="26"/>
  <c r="AE91" i="26"/>
  <c r="AB91" i="26"/>
  <c r="Y91" i="26"/>
  <c r="V91" i="26"/>
  <c r="S91" i="26"/>
  <c r="P91" i="26"/>
  <c r="M91" i="26"/>
  <c r="J90" i="26"/>
  <c r="J91" i="26"/>
  <c r="G91" i="26"/>
  <c r="AQ80" i="26"/>
  <c r="AQ81" i="26"/>
  <c r="AN79" i="26"/>
  <c r="AK79" i="26"/>
  <c r="AH79" i="26"/>
  <c r="AE79" i="26"/>
  <c r="AB79" i="26"/>
  <c r="Y79" i="26"/>
  <c r="V79" i="26"/>
  <c r="S79" i="26"/>
  <c r="P79" i="26"/>
  <c r="M79" i="26"/>
  <c r="J79" i="26"/>
  <c r="G79" i="26"/>
  <c r="AU79" i="26"/>
  <c r="AH83" i="22"/>
  <c r="AH84" i="22"/>
  <c r="AH85" i="22"/>
  <c r="AB85" i="22"/>
  <c r="AC85" i="22"/>
  <c r="AD85" i="22"/>
  <c r="AE85" i="22"/>
  <c r="Y85" i="22"/>
  <c r="V85" i="22"/>
  <c r="S85" i="22"/>
  <c r="P85" i="22"/>
  <c r="M85" i="22"/>
  <c r="J85" i="22"/>
  <c r="G85" i="22"/>
  <c r="AL72" i="22"/>
  <c r="AH71" i="22"/>
  <c r="AC71" i="22"/>
  <c r="AD71" i="22"/>
  <c r="AE71" i="22"/>
  <c r="AC77" i="22"/>
  <c r="AD77" i="22"/>
  <c r="AE77" i="22"/>
  <c r="AB71" i="22"/>
  <c r="Y71" i="22"/>
  <c r="V71" i="22"/>
  <c r="S71" i="22"/>
  <c r="P71" i="22"/>
  <c r="M71" i="22"/>
  <c r="J71" i="22"/>
  <c r="G71" i="22"/>
  <c r="AQ77" i="26"/>
  <c r="AQ78" i="26"/>
  <c r="AQ91" i="26" s="1"/>
  <c r="AM76" i="26"/>
  <c r="AN76" i="26"/>
  <c r="AJ76" i="26"/>
  <c r="AK76" i="26"/>
  <c r="AG76" i="26"/>
  <c r="AH76" i="26"/>
  <c r="AE76" i="26"/>
  <c r="Y76" i="26"/>
  <c r="V76" i="26"/>
  <c r="AN74" i="26"/>
  <c r="AN90" i="26" s="1"/>
  <c r="AN75" i="26"/>
  <c r="AN92" i="26" s="1"/>
  <c r="AK65" i="26"/>
  <c r="AK74" i="26"/>
  <c r="AK90" i="26" s="1"/>
  <c r="AK75" i="26"/>
  <c r="AK92" i="26" s="1"/>
  <c r="AH74" i="26"/>
  <c r="AH90" i="26" s="1"/>
  <c r="AH75" i="26"/>
  <c r="AH92" i="26" s="1"/>
  <c r="AE74" i="26"/>
  <c r="AE90" i="26" s="1"/>
  <c r="AE75" i="26"/>
  <c r="AE92" i="26" s="1"/>
  <c r="AB74" i="26"/>
  <c r="AB90" i="26" s="1"/>
  <c r="AB75" i="26"/>
  <c r="AB92" i="26" s="1"/>
  <c r="Y74" i="26"/>
  <c r="Y90" i="26" s="1"/>
  <c r="Y75" i="26"/>
  <c r="Y92" i="26" s="1"/>
  <c r="V74" i="26"/>
  <c r="V90" i="26" s="1"/>
  <c r="V75" i="26"/>
  <c r="V92" i="26" s="1"/>
  <c r="P74" i="26"/>
  <c r="P90" i="26" s="1"/>
  <c r="P75" i="26"/>
  <c r="P92" i="26" s="1"/>
  <c r="M75" i="26"/>
  <c r="M92" i="26" s="1"/>
  <c r="S75" i="26"/>
  <c r="S92" i="26" s="1"/>
  <c r="S76" i="26"/>
  <c r="P76" i="26"/>
  <c r="M76" i="26"/>
  <c r="J76" i="26"/>
  <c r="G76" i="26"/>
  <c r="AU76" i="26"/>
  <c r="AL67" i="22"/>
  <c r="AH67" i="22"/>
  <c r="AC67" i="22"/>
  <c r="AD67" i="22"/>
  <c r="AE67" i="22"/>
  <c r="AB67" i="22"/>
  <c r="Y67" i="22"/>
  <c r="V67" i="22"/>
  <c r="S67" i="22"/>
  <c r="P67" i="22"/>
  <c r="M67" i="22"/>
  <c r="J67" i="22"/>
  <c r="G67" i="22"/>
  <c r="AQ86" i="26"/>
  <c r="AQ87" i="26"/>
  <c r="AN85" i="26"/>
  <c r="AK85" i="26"/>
  <c r="AH85" i="26"/>
  <c r="AE85" i="26"/>
  <c r="AB85" i="26"/>
  <c r="Y85" i="26"/>
  <c r="V85" i="26"/>
  <c r="S85" i="26"/>
  <c r="P85" i="26"/>
  <c r="M85" i="26"/>
  <c r="J85" i="26"/>
  <c r="G85" i="26"/>
  <c r="AU85" i="26"/>
  <c r="AL79" i="22"/>
  <c r="AL77" i="22" s="1"/>
  <c r="AH77" i="22"/>
  <c r="AB77" i="22"/>
  <c r="Y77" i="22"/>
  <c r="V77" i="22"/>
  <c r="S77" i="22"/>
  <c r="P77" i="22"/>
  <c r="M77" i="22"/>
  <c r="J77" i="22"/>
  <c r="G77" i="22"/>
  <c r="AQ83" i="26"/>
  <c r="AQ84" i="26"/>
  <c r="AM82" i="26"/>
  <c r="AN82" i="26"/>
  <c r="AJ82" i="26"/>
  <c r="AK82" i="26"/>
  <c r="AG82" i="26"/>
  <c r="AH82" i="26"/>
  <c r="AE82" i="26"/>
  <c r="Y82" i="26"/>
  <c r="V82" i="26"/>
  <c r="S82" i="26"/>
  <c r="P82" i="26"/>
  <c r="M82" i="26"/>
  <c r="J82" i="26"/>
  <c r="G82" i="26"/>
  <c r="AD17" i="28"/>
  <c r="AD18" i="28"/>
  <c r="AD19" i="28"/>
  <c r="AA17" i="28"/>
  <c r="AA18" i="28"/>
  <c r="AA19" i="28"/>
  <c r="X17" i="28"/>
  <c r="X18" i="28"/>
  <c r="X19" i="28"/>
  <c r="U17" i="28"/>
  <c r="U18" i="28"/>
  <c r="U19" i="28"/>
  <c r="R17" i="28"/>
  <c r="R18" i="28"/>
  <c r="R19" i="28"/>
  <c r="O17" i="28"/>
  <c r="O18" i="28"/>
  <c r="O19" i="28"/>
  <c r="L17" i="28"/>
  <c r="L18" i="28"/>
  <c r="L19" i="28"/>
  <c r="I17" i="28"/>
  <c r="I18" i="28"/>
  <c r="I19" i="28"/>
  <c r="F17" i="28"/>
  <c r="F18" i="28"/>
  <c r="F19" i="28"/>
  <c r="AU82" i="26"/>
  <c r="AL75" i="22"/>
  <c r="AL76" i="22"/>
  <c r="AH74" i="22"/>
  <c r="AC74" i="22"/>
  <c r="AD74" i="22"/>
  <c r="AE74" i="22"/>
  <c r="AB74" i="22"/>
  <c r="Y74" i="22"/>
  <c r="V74" i="22"/>
  <c r="S74" i="22"/>
  <c r="P74" i="22"/>
  <c r="M74" i="22"/>
  <c r="J74" i="22"/>
  <c r="G74" i="22"/>
  <c r="AN65" i="26"/>
  <c r="AH65" i="26"/>
  <c r="AB65" i="26"/>
  <c r="Y65" i="26"/>
  <c r="S65" i="26"/>
  <c r="V65" i="26"/>
  <c r="S74" i="26"/>
  <c r="S90" i="26" s="1"/>
  <c r="P65" i="26"/>
  <c r="M65" i="26"/>
  <c r="J65" i="26"/>
  <c r="G65" i="26"/>
  <c r="AQ5" i="26"/>
  <c r="AQ6" i="26"/>
  <c r="AQ7" i="26"/>
  <c r="AQ8" i="26"/>
  <c r="AQ9" i="26"/>
  <c r="AQ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6" i="26"/>
  <c r="AQ27" i="26"/>
  <c r="AQ28" i="26"/>
  <c r="AQ29" i="26"/>
  <c r="AQ31" i="26"/>
  <c r="AQ32" i="26"/>
  <c r="AQ33" i="26"/>
  <c r="AQ34" i="26"/>
  <c r="AQ35" i="26"/>
  <c r="AQ36" i="26"/>
  <c r="AQ37" i="26"/>
  <c r="AQ38" i="26"/>
  <c r="AQ40" i="26"/>
  <c r="AR40" i="26" s="1"/>
  <c r="AQ41" i="26"/>
  <c r="AR41" i="26" s="1"/>
  <c r="AQ42" i="26"/>
  <c r="AR42" i="26" s="1"/>
  <c r="AQ43" i="26"/>
  <c r="AR43" i="26" s="1"/>
  <c r="AQ44" i="26"/>
  <c r="AR44" i="26" s="1"/>
  <c r="AQ79" i="26" l="1"/>
  <c r="AL71" i="22"/>
  <c r="AM71" i="22" s="1"/>
  <c r="AM72" i="22"/>
  <c r="S93" i="26"/>
  <c r="J88" i="26"/>
  <c r="P88" i="26"/>
  <c r="Y88" i="26"/>
  <c r="AH88" i="26"/>
  <c r="AQ82" i="26"/>
  <c r="P93" i="26"/>
  <c r="Y93" i="26"/>
  <c r="AB93" i="26"/>
  <c r="AE93" i="26"/>
  <c r="AH93" i="26"/>
  <c r="AK93" i="26"/>
  <c r="AQ76" i="26"/>
  <c r="AH86" i="22"/>
  <c r="AU88" i="26"/>
  <c r="AB88" i="26"/>
  <c r="AQ85" i="26"/>
  <c r="G88" i="26"/>
  <c r="S88" i="26"/>
  <c r="AN88" i="26"/>
  <c r="AK88" i="26"/>
  <c r="AE88" i="26"/>
  <c r="V88" i="26"/>
  <c r="G93" i="26"/>
  <c r="AQ75" i="26"/>
  <c r="AQ92" i="26" s="1"/>
  <c r="AL74" i="22"/>
  <c r="P86" i="22"/>
  <c r="M88" i="26"/>
  <c r="V93" i="26"/>
  <c r="AN93" i="26"/>
  <c r="J93" i="26"/>
  <c r="AU93" i="26"/>
  <c r="M74" i="26"/>
  <c r="M90" i="26" s="1"/>
  <c r="M93" i="26" s="1"/>
  <c r="AQ30" i="26"/>
  <c r="AQ74" i="26" s="1"/>
  <c r="AQ90" i="26" l="1"/>
  <c r="AQ65" i="26"/>
  <c r="AU94" i="26" s="1"/>
  <c r="AQ88" i="26" l="1"/>
  <c r="AQ93" i="26"/>
  <c r="AM78" i="22" l="1"/>
  <c r="AJ20" i="28"/>
  <c r="X17" i="24"/>
  <c r="X18" i="24"/>
  <c r="X19" i="24"/>
  <c r="AA17" i="24"/>
  <c r="AA18" i="24"/>
  <c r="AA19" i="24"/>
  <c r="AE13" i="24"/>
  <c r="AE5" i="24"/>
  <c r="AE6" i="24"/>
  <c r="AE7" i="24"/>
  <c r="AE8" i="24"/>
  <c r="AE9" i="24"/>
  <c r="AE10" i="24"/>
  <c r="AE11" i="24"/>
  <c r="AE12" i="24"/>
  <c r="AE14" i="24"/>
  <c r="AE15" i="24"/>
  <c r="AE16" i="24"/>
  <c r="AE19" i="24"/>
  <c r="U17" i="24"/>
  <c r="U18" i="24"/>
  <c r="U19" i="24"/>
  <c r="R17" i="24"/>
  <c r="R18" i="24"/>
  <c r="R19" i="24"/>
  <c r="O17" i="24"/>
  <c r="O18" i="24"/>
  <c r="O19" i="24"/>
  <c r="L18" i="24"/>
  <c r="L19" i="24"/>
  <c r="I17" i="24"/>
  <c r="I18" i="24"/>
  <c r="I19" i="24"/>
  <c r="F17" i="24"/>
  <c r="F18" i="24"/>
  <c r="F19" i="24"/>
  <c r="AC64" i="22"/>
  <c r="AC83" i="22" s="1"/>
  <c r="AD64" i="22"/>
  <c r="AD83" i="22" s="1"/>
  <c r="AE64" i="22"/>
  <c r="AE83" i="22" s="1"/>
  <c r="AC66" i="22"/>
  <c r="AC84" i="22" s="1"/>
  <c r="AD66" i="22"/>
  <c r="AD84" i="22" s="1"/>
  <c r="AE66" i="22"/>
  <c r="AE84" i="22" s="1"/>
  <c r="AC63" i="22"/>
  <c r="AC81" i="22" s="1"/>
  <c r="AD63" i="22"/>
  <c r="AD81" i="22" s="1"/>
  <c r="AH63" i="22"/>
  <c r="AH81" i="22" s="1"/>
  <c r="AE63" i="22"/>
  <c r="AE81" i="22" s="1"/>
  <c r="AB63" i="22"/>
  <c r="AB81" i="22" s="1"/>
  <c r="AB64" i="22"/>
  <c r="AB83" i="22" s="1"/>
  <c r="AB66" i="22"/>
  <c r="AB84" i="22" s="1"/>
  <c r="Y63" i="22"/>
  <c r="Y81" i="22" s="1"/>
  <c r="Y64" i="22"/>
  <c r="Y83" i="22" s="1"/>
  <c r="Y66" i="22"/>
  <c r="Y84" i="22" s="1"/>
  <c r="V63" i="22"/>
  <c r="V81" i="22" s="1"/>
  <c r="V64" i="22"/>
  <c r="V83" i="22" s="1"/>
  <c r="V66" i="22"/>
  <c r="V84" i="22" s="1"/>
  <c r="S81" i="22"/>
  <c r="S64" i="22"/>
  <c r="S83" i="22" s="1"/>
  <c r="S86" i="22" s="1"/>
  <c r="S66" i="22"/>
  <c r="S84" i="22" s="1"/>
  <c r="P63" i="22"/>
  <c r="P81" i="22" s="1"/>
  <c r="J81" i="22"/>
  <c r="J64" i="22"/>
  <c r="J83" i="22" s="1"/>
  <c r="J66" i="22"/>
  <c r="J84" i="22" s="1"/>
  <c r="G63" i="22"/>
  <c r="G81" i="22" s="1"/>
  <c r="G64" i="22"/>
  <c r="G66" i="22"/>
  <c r="G84" i="22" s="1"/>
  <c r="AL49" i="22"/>
  <c r="AM49" i="22" s="1"/>
  <c r="AL40" i="22"/>
  <c r="AL41" i="22"/>
  <c r="AL42" i="22"/>
  <c r="AL44" i="22"/>
  <c r="AL45" i="22"/>
  <c r="AL46" i="22"/>
  <c r="AL47" i="22"/>
  <c r="AL48" i="22"/>
  <c r="AL52" i="22"/>
  <c r="AM52" i="22" s="1"/>
  <c r="AL61" i="22"/>
  <c r="AL62" i="22"/>
  <c r="AL65" i="22"/>
  <c r="AL85" i="22" s="1"/>
  <c r="AL5" i="22"/>
  <c r="AL6" i="22"/>
  <c r="AL7" i="22"/>
  <c r="AL8" i="22"/>
  <c r="AL9" i="22"/>
  <c r="AL10" i="22"/>
  <c r="AL12" i="22"/>
  <c r="AL13" i="22"/>
  <c r="AL14" i="22"/>
  <c r="AL15" i="22"/>
  <c r="AL16" i="22"/>
  <c r="AL17" i="22"/>
  <c r="AL22" i="22"/>
  <c r="AL23" i="22"/>
  <c r="AL24" i="22"/>
  <c r="AL25" i="22"/>
  <c r="AL26" i="22"/>
  <c r="AL29" i="22"/>
  <c r="AL31" i="22"/>
  <c r="AL32" i="22"/>
  <c r="AL33" i="22"/>
  <c r="AL34" i="22"/>
  <c r="AL35" i="22"/>
  <c r="AL36" i="22"/>
  <c r="AL37" i="22"/>
  <c r="AM37" i="22" s="1"/>
  <c r="M66" i="22"/>
  <c r="M64" i="22" s="1"/>
  <c r="M83" i="22" s="1"/>
  <c r="AI5" i="28"/>
  <c r="AI6" i="28"/>
  <c r="AI7" i="28"/>
  <c r="AI9" i="28"/>
  <c r="AI10" i="28"/>
  <c r="AI11" i="28"/>
  <c r="AI12" i="28"/>
  <c r="AI13" i="28"/>
  <c r="AI14" i="28"/>
  <c r="AI15" i="28"/>
  <c r="AI16" i="28"/>
  <c r="AJ11" i="27"/>
  <c r="AJ16" i="30"/>
  <c r="AJ10" i="29"/>
  <c r="X8" i="25"/>
  <c r="X9" i="25"/>
  <c r="AA5" i="25"/>
  <c r="AA8" i="25"/>
  <c r="AA9" i="25"/>
  <c r="X7" i="25"/>
  <c r="T7" i="25"/>
  <c r="U7" i="25"/>
  <c r="T8" i="25"/>
  <c r="U8" i="25"/>
  <c r="T9" i="25"/>
  <c r="U9" i="25"/>
  <c r="Q7" i="25"/>
  <c r="R7" i="25"/>
  <c r="Q8" i="25"/>
  <c r="R8" i="25"/>
  <c r="Q9" i="25"/>
  <c r="R9" i="25"/>
  <c r="O7" i="25"/>
  <c r="O8" i="25"/>
  <c r="O9" i="25"/>
  <c r="N7" i="25"/>
  <c r="N8" i="25"/>
  <c r="N9" i="25"/>
  <c r="K7" i="25"/>
  <c r="L7" i="25"/>
  <c r="K8" i="25"/>
  <c r="L8" i="25"/>
  <c r="K9" i="25"/>
  <c r="L9" i="25"/>
  <c r="H7" i="25"/>
  <c r="I7" i="25"/>
  <c r="H8" i="25"/>
  <c r="I8" i="25"/>
  <c r="H9" i="25"/>
  <c r="I9" i="25"/>
  <c r="E7" i="25"/>
  <c r="F7" i="25"/>
  <c r="AA7" i="25" s="1"/>
  <c r="E8" i="25"/>
  <c r="F8" i="25"/>
  <c r="E9" i="25"/>
  <c r="F9" i="25"/>
  <c r="AI5" i="29"/>
  <c r="AI6" i="29"/>
  <c r="AI7" i="29" s="1"/>
  <c r="AI8" i="29"/>
  <c r="AI9" i="29"/>
  <c r="AD7" i="29"/>
  <c r="AD8" i="29"/>
  <c r="AD9" i="29"/>
  <c r="AA7" i="29"/>
  <c r="AA8" i="29"/>
  <c r="AA9" i="29"/>
  <c r="X7" i="29"/>
  <c r="X8" i="29"/>
  <c r="X9" i="29"/>
  <c r="U7" i="29"/>
  <c r="U8" i="29"/>
  <c r="U9" i="29"/>
  <c r="R7" i="29"/>
  <c r="R8" i="29"/>
  <c r="R9" i="29"/>
  <c r="O7" i="29"/>
  <c r="O8" i="29"/>
  <c r="O9" i="29"/>
  <c r="L8" i="29"/>
  <c r="L9" i="29"/>
  <c r="I7" i="29"/>
  <c r="I8" i="29"/>
  <c r="I9" i="29"/>
  <c r="F8" i="29"/>
  <c r="F9" i="29"/>
  <c r="F7" i="29"/>
  <c r="L7" i="29"/>
  <c r="AL63" i="22" l="1"/>
  <c r="AI18" i="28"/>
  <c r="AI19" i="28"/>
  <c r="J86" i="22"/>
  <c r="Y86" i="22"/>
  <c r="AL64" i="22"/>
  <c r="AL83" i="22" s="1"/>
  <c r="G83" i="22"/>
  <c r="G86" i="22" s="1"/>
  <c r="V86" i="22"/>
  <c r="AB86" i="22"/>
  <c r="AD86" i="22"/>
  <c r="AL66" i="22"/>
  <c r="M84" i="22"/>
  <c r="M86" i="22" s="1"/>
  <c r="AE86" i="22"/>
  <c r="AC86" i="22"/>
  <c r="AE18" i="24"/>
  <c r="AE17" i="24"/>
  <c r="AL30" i="22"/>
  <c r="AL81" i="22" s="1"/>
  <c r="M81" i="22"/>
  <c r="AI17" i="28"/>
  <c r="AI12" i="30"/>
  <c r="AJ12" i="30" s="1"/>
  <c r="AI5" i="30"/>
  <c r="AI6" i="30"/>
  <c r="AI7" i="30"/>
  <c r="AI8" i="30"/>
  <c r="AI9" i="30"/>
  <c r="F13" i="30"/>
  <c r="E13" i="30"/>
  <c r="AD6" i="31"/>
  <c r="AD7" i="31"/>
  <c r="AD8" i="31"/>
  <c r="AD9" i="31"/>
  <c r="AI5" i="27"/>
  <c r="AI7" i="27"/>
  <c r="AI9" i="27"/>
  <c r="AI10" i="27"/>
  <c r="AD8" i="27"/>
  <c r="AD9" i="27"/>
  <c r="AD10" i="27"/>
  <c r="AA8" i="27"/>
  <c r="AA9" i="27"/>
  <c r="AA10" i="27"/>
  <c r="X8" i="27"/>
  <c r="X9" i="27"/>
  <c r="X10" i="27"/>
  <c r="U9" i="27"/>
  <c r="U10" i="27"/>
  <c r="U8" i="27"/>
  <c r="R8" i="27"/>
  <c r="R9" i="27"/>
  <c r="R10" i="27"/>
  <c r="O8" i="27"/>
  <c r="O9" i="27"/>
  <c r="O10" i="27"/>
  <c r="L9" i="27"/>
  <c r="L10" i="27"/>
  <c r="L8" i="27"/>
  <c r="I10" i="27"/>
  <c r="I9" i="27"/>
  <c r="I8" i="27"/>
  <c r="F10" i="27"/>
  <c r="F9" i="27"/>
  <c r="F8" i="27"/>
  <c r="AD5" i="23"/>
  <c r="AD7" i="23"/>
  <c r="AD9" i="23" s="1"/>
  <c r="AD10" i="23"/>
  <c r="AC5" i="23"/>
  <c r="AA9" i="23"/>
  <c r="AA10" i="23"/>
  <c r="X9" i="23"/>
  <c r="X10" i="23"/>
  <c r="X8" i="23"/>
  <c r="U8" i="23"/>
  <c r="U9" i="23"/>
  <c r="U10" i="23"/>
  <c r="R8" i="23"/>
  <c r="R9" i="23"/>
  <c r="R10" i="23"/>
  <c r="O8" i="23"/>
  <c r="O9" i="23"/>
  <c r="O10" i="23"/>
  <c r="L8" i="23"/>
  <c r="L9" i="23"/>
  <c r="L10" i="23"/>
  <c r="I9" i="23"/>
  <c r="I10" i="23"/>
  <c r="I8" i="23"/>
  <c r="F10" i="23"/>
  <c r="F9" i="23"/>
  <c r="F8" i="23"/>
  <c r="AA8" i="23"/>
  <c r="AI8" i="27" l="1"/>
  <c r="AD8" i="23"/>
  <c r="AD13" i="31"/>
  <c r="AD14" i="31"/>
  <c r="AI13" i="30"/>
  <c r="AI15" i="30"/>
  <c r="AD15" i="31"/>
  <c r="AE5" i="23"/>
  <c r="AL84" i="22"/>
  <c r="AL86" i="22" s="1"/>
  <c r="AI14" i="30"/>
  <c r="D15" i="7" l="1"/>
  <c r="F15" i="7" s="1"/>
  <c r="F12" i="5"/>
  <c r="E73" i="1"/>
  <c r="AP9" i="26" l="1"/>
  <c r="AR9" i="26" s="1"/>
  <c r="AP10" i="26"/>
  <c r="AR10" i="26" s="1"/>
  <c r="AP11" i="26"/>
  <c r="AR11" i="26" s="1"/>
  <c r="AP12" i="26"/>
  <c r="AR12" i="26" s="1"/>
  <c r="AP13" i="26"/>
  <c r="AR13" i="26" s="1"/>
  <c r="AP14" i="26"/>
  <c r="AR14" i="26" s="1"/>
  <c r="AP15" i="26"/>
  <c r="AR15" i="26" s="1"/>
  <c r="AP16" i="26"/>
  <c r="AR16" i="26" s="1"/>
  <c r="AP17" i="26"/>
  <c r="AR17" i="26" s="1"/>
  <c r="AP19" i="26"/>
  <c r="AR19" i="26" s="1"/>
  <c r="AP20" i="26"/>
  <c r="AR20" i="26" s="1"/>
  <c r="AP21" i="26"/>
  <c r="AR21" i="26" s="1"/>
  <c r="AP22" i="26"/>
  <c r="AR22" i="26" s="1"/>
  <c r="AR34" i="26"/>
  <c r="AR35" i="26"/>
  <c r="AR36" i="26"/>
  <c r="AR37" i="26"/>
  <c r="AR56" i="26"/>
  <c r="AR57" i="26"/>
  <c r="AR58" i="26"/>
  <c r="AR60" i="26"/>
  <c r="AR61" i="26"/>
  <c r="AR62" i="26"/>
  <c r="AR64" i="26"/>
  <c r="AP5" i="26"/>
  <c r="AR5" i="26" s="1"/>
  <c r="AA65" i="26" l="1"/>
  <c r="AR38" i="26"/>
  <c r="AR33" i="26"/>
  <c r="AR32" i="26"/>
  <c r="AR31" i="26"/>
  <c r="AR29" i="26"/>
  <c r="AP8" i="26"/>
  <c r="AR8" i="26" s="1"/>
  <c r="AP18" i="26"/>
  <c r="AR18" i="26" s="1"/>
  <c r="AP7" i="26"/>
  <c r="AR7" i="26" s="1"/>
  <c r="AC6" i="31"/>
  <c r="AC7" i="31"/>
  <c r="AE7" i="31" s="1"/>
  <c r="AC8" i="31"/>
  <c r="AE8" i="31" s="1"/>
  <c r="AC9" i="31"/>
  <c r="AE9" i="31" s="1"/>
  <c r="AH5" i="30"/>
  <c r="AH14" i="30" s="1"/>
  <c r="AH6" i="30"/>
  <c r="AH7" i="30"/>
  <c r="AJ7" i="30" s="1"/>
  <c r="AH9" i="30"/>
  <c r="AJ9" i="30" s="1"/>
  <c r="AH8" i="30"/>
  <c r="AJ8" i="30" s="1"/>
  <c r="H13" i="30"/>
  <c r="AF5" i="30"/>
  <c r="N85" i="22"/>
  <c r="O85" i="22"/>
  <c r="N84" i="22"/>
  <c r="N83" i="22"/>
  <c r="N77" i="22"/>
  <c r="O77" i="22"/>
  <c r="N74" i="22"/>
  <c r="O74" i="22"/>
  <c r="N71" i="22"/>
  <c r="O71" i="22"/>
  <c r="I67" i="22"/>
  <c r="L67" i="22"/>
  <c r="N67" i="22"/>
  <c r="O67" i="22"/>
  <c r="Q67" i="22"/>
  <c r="R67" i="22"/>
  <c r="T67" i="22"/>
  <c r="U67" i="22"/>
  <c r="W67" i="22"/>
  <c r="X67" i="22"/>
  <c r="Z67" i="22"/>
  <c r="AA67" i="22"/>
  <c r="AK65" i="22"/>
  <c r="AK52" i="22"/>
  <c r="O84" i="22"/>
  <c r="O86" i="22" s="1"/>
  <c r="N63" i="22"/>
  <c r="O63" i="22"/>
  <c r="AF14" i="30" l="1"/>
  <c r="AF13" i="30"/>
  <c r="AH15" i="30"/>
  <c r="AJ15" i="30" s="1"/>
  <c r="AH13" i="30"/>
  <c r="N86" i="22"/>
  <c r="AJ14" i="30"/>
  <c r="AJ5" i="30"/>
  <c r="AJ6" i="30"/>
  <c r="AE13" i="31"/>
  <c r="AE14" i="31"/>
  <c r="AE5" i="31"/>
  <c r="AE15" i="31"/>
  <c r="AE6" i="31"/>
  <c r="AK85" i="22"/>
  <c r="AM85" i="22" s="1"/>
  <c r="AM65" i="22"/>
  <c r="N81" i="22"/>
  <c r="O81" i="22"/>
  <c r="AJ13" i="30"/>
  <c r="AK51" i="22"/>
  <c r="AM51" i="22" s="1"/>
  <c r="Z85" i="22"/>
  <c r="AA85" i="22"/>
  <c r="Z77" i="22"/>
  <c r="AA77" i="22"/>
  <c r="Z74" i="22"/>
  <c r="AA74" i="22"/>
  <c r="Z71" i="22"/>
  <c r="AA71" i="22"/>
  <c r="Z66" i="22"/>
  <c r="Z84" i="22" s="1"/>
  <c r="AA66" i="22"/>
  <c r="Z64" i="22"/>
  <c r="Z83" i="22" s="1"/>
  <c r="AA64" i="22"/>
  <c r="AA83" i="22" s="1"/>
  <c r="Z63" i="22"/>
  <c r="Z81" i="22" s="1"/>
  <c r="AA63" i="22"/>
  <c r="AA81" i="22" s="1"/>
  <c r="AR26" i="26"/>
  <c r="Z86" i="22" l="1"/>
  <c r="AA84" i="22"/>
  <c r="AA86" i="22" s="1"/>
  <c r="I15" i="7"/>
  <c r="D16" i="7"/>
  <c r="D16" i="2"/>
  <c r="I20" i="2"/>
  <c r="I15" i="2"/>
  <c r="K15" i="2" s="1"/>
  <c r="D94" i="6"/>
  <c r="D83" i="6"/>
  <c r="D78" i="6"/>
  <c r="D88" i="6" s="1"/>
  <c r="D69" i="6"/>
  <c r="D55" i="6"/>
  <c r="D43" i="6"/>
  <c r="D37" i="6"/>
  <c r="D49" i="6" s="1"/>
  <c r="D24" i="6"/>
  <c r="D20" i="6"/>
  <c r="D16" i="6"/>
  <c r="D9" i="6"/>
  <c r="D83" i="5"/>
  <c r="D78" i="5"/>
  <c r="D88" i="5" s="1"/>
  <c r="D69" i="5"/>
  <c r="F69" i="5" s="1"/>
  <c r="D66" i="5"/>
  <c r="F66" i="5" s="1"/>
  <c r="D60" i="5"/>
  <c r="F60" i="5" s="1"/>
  <c r="D43" i="5"/>
  <c r="D37" i="5"/>
  <c r="D49" i="5" s="1"/>
  <c r="D25" i="5"/>
  <c r="D24" i="5" s="1"/>
  <c r="D20" i="5"/>
  <c r="F20" i="5" s="1"/>
  <c r="F16" i="5"/>
  <c r="D9" i="5"/>
  <c r="D82" i="4"/>
  <c r="F82" i="4" s="1"/>
  <c r="D73" i="4"/>
  <c r="D59" i="4"/>
  <c r="AI65" i="22"/>
  <c r="D20" i="4"/>
  <c r="D36" i="4"/>
  <c r="D48" i="4" s="1"/>
  <c r="F48" i="4" s="1"/>
  <c r="D32" i="4"/>
  <c r="D25" i="4"/>
  <c r="D16" i="4"/>
  <c r="F16" i="4" s="1"/>
  <c r="D9" i="4"/>
  <c r="F9" i="4" s="1"/>
  <c r="E82" i="1"/>
  <c r="G82" i="1" s="1"/>
  <c r="E77" i="1"/>
  <c r="E68" i="1"/>
  <c r="G68" i="1" s="1"/>
  <c r="E65" i="1"/>
  <c r="G65" i="1" s="1"/>
  <c r="E59" i="1"/>
  <c r="G59" i="1" s="1"/>
  <c r="L85" i="22"/>
  <c r="E36" i="1"/>
  <c r="E48" i="1" s="1"/>
  <c r="G48" i="1" s="1"/>
  <c r="E24" i="1"/>
  <c r="G24" i="1" s="1"/>
  <c r="E20" i="1"/>
  <c r="G20" i="1" s="1"/>
  <c r="E16" i="1"/>
  <c r="G16" i="1" s="1"/>
  <c r="E9" i="1"/>
  <c r="D20" i="2" l="1"/>
  <c r="F20" i="2" s="1"/>
  <c r="F16" i="2"/>
  <c r="F25" i="4"/>
  <c r="D24" i="4"/>
  <c r="F24" i="4" s="1"/>
  <c r="I21" i="7"/>
  <c r="K21" i="7" s="1"/>
  <c r="K15" i="7"/>
  <c r="D20" i="7"/>
  <c r="F16" i="7"/>
  <c r="D36" i="6"/>
  <c r="F9" i="6"/>
  <c r="D77" i="6"/>
  <c r="F55" i="6"/>
  <c r="D87" i="4"/>
  <c r="F87" i="4" s="1"/>
  <c r="D68" i="4"/>
  <c r="F68" i="4" s="1"/>
  <c r="D54" i="4"/>
  <c r="F54" i="4" s="1"/>
  <c r="F59" i="4"/>
  <c r="E87" i="1"/>
  <c r="G87" i="1" s="1"/>
  <c r="D94" i="5"/>
  <c r="F49" i="5"/>
  <c r="D36" i="5"/>
  <c r="F9" i="5"/>
  <c r="E93" i="1"/>
  <c r="I21" i="2"/>
  <c r="K21" i="2" s="1"/>
  <c r="D55" i="5"/>
  <c r="E54" i="1"/>
  <c r="D35" i="4"/>
  <c r="E35" i="1"/>
  <c r="G35" i="1" s="1"/>
  <c r="AK79" i="22"/>
  <c r="AJ85" i="22"/>
  <c r="AG85" i="22"/>
  <c r="X85" i="22"/>
  <c r="U85" i="22"/>
  <c r="R85" i="22"/>
  <c r="I85" i="22"/>
  <c r="F85" i="22"/>
  <c r="AJ79" i="22"/>
  <c r="AJ77" i="22" s="1"/>
  <c r="AI79" i="22"/>
  <c r="AG77" i="22"/>
  <c r="X77" i="22"/>
  <c r="F77" i="22"/>
  <c r="H77" i="22"/>
  <c r="I77" i="22"/>
  <c r="K77" i="22"/>
  <c r="L77" i="22"/>
  <c r="Q77" i="22"/>
  <c r="R77" i="22"/>
  <c r="T77" i="22"/>
  <c r="U77" i="22"/>
  <c r="AT90" i="26"/>
  <c r="AT91" i="26"/>
  <c r="AT92" i="26"/>
  <c r="AM91" i="26"/>
  <c r="AJ91" i="26"/>
  <c r="AG91" i="26"/>
  <c r="AD91" i="26"/>
  <c r="AA91" i="26"/>
  <c r="X91" i="26"/>
  <c r="U91" i="26"/>
  <c r="R91" i="26"/>
  <c r="O91" i="26"/>
  <c r="L91" i="26"/>
  <c r="I91" i="26"/>
  <c r="AM74" i="26"/>
  <c r="AM90" i="26" s="1"/>
  <c r="AM75" i="26"/>
  <c r="AM92" i="26" s="1"/>
  <c r="AJ74" i="26"/>
  <c r="AJ90" i="26" s="1"/>
  <c r="AG74" i="26"/>
  <c r="AG90" i="26" s="1"/>
  <c r="AG75" i="26"/>
  <c r="AG92" i="26" s="1"/>
  <c r="AD75" i="26"/>
  <c r="AD92" i="26" s="1"/>
  <c r="AA74" i="26"/>
  <c r="AA90" i="26" s="1"/>
  <c r="AA75" i="26"/>
  <c r="AA92" i="26" s="1"/>
  <c r="X74" i="26"/>
  <c r="X90" i="26" s="1"/>
  <c r="X75" i="26"/>
  <c r="X92" i="26" s="1"/>
  <c r="U74" i="26"/>
  <c r="U90" i="26" s="1"/>
  <c r="U75" i="26"/>
  <c r="U92" i="26" s="1"/>
  <c r="R75" i="26"/>
  <c r="R92" i="26" s="1"/>
  <c r="O74" i="26"/>
  <c r="O90" i="26" s="1"/>
  <c r="O75" i="26"/>
  <c r="O92" i="26" s="1"/>
  <c r="L74" i="26"/>
  <c r="L90" i="26" s="1"/>
  <c r="L75" i="26"/>
  <c r="L92" i="26" s="1"/>
  <c r="I75" i="26"/>
  <c r="I92" i="26" s="1"/>
  <c r="F75" i="26"/>
  <c r="F92" i="26" s="1"/>
  <c r="F91" i="26"/>
  <c r="AT85" i="26"/>
  <c r="AP87" i="26"/>
  <c r="AR87" i="26" s="1"/>
  <c r="AO87" i="26"/>
  <c r="O85" i="26"/>
  <c r="Q85" i="26"/>
  <c r="R85" i="26"/>
  <c r="T85" i="26"/>
  <c r="U85" i="26"/>
  <c r="W85" i="26"/>
  <c r="X85" i="26"/>
  <c r="Z85" i="26"/>
  <c r="AA85" i="26"/>
  <c r="AC85" i="26"/>
  <c r="AD85" i="26"/>
  <c r="AF85" i="26"/>
  <c r="AG85" i="26"/>
  <c r="AI85" i="26"/>
  <c r="AJ85" i="26"/>
  <c r="AL85" i="26"/>
  <c r="AM85" i="26"/>
  <c r="L85" i="26"/>
  <c r="F85" i="26"/>
  <c r="AP86" i="26"/>
  <c r="AT82" i="26"/>
  <c r="AP84" i="26"/>
  <c r="AR84" i="26" s="1"/>
  <c r="AP83" i="26"/>
  <c r="AR83" i="26" s="1"/>
  <c r="AO84" i="26"/>
  <c r="AO83" i="26"/>
  <c r="AD82" i="26"/>
  <c r="X82" i="26"/>
  <c r="U82" i="26"/>
  <c r="R82" i="26"/>
  <c r="O82" i="26"/>
  <c r="L82" i="26"/>
  <c r="I82" i="26"/>
  <c r="F82" i="26"/>
  <c r="AP81" i="26"/>
  <c r="AR81" i="26" s="1"/>
  <c r="AO81" i="26"/>
  <c r="AP80" i="26"/>
  <c r="Q79" i="26"/>
  <c r="R79" i="26"/>
  <c r="T79" i="26"/>
  <c r="U79" i="26"/>
  <c r="W79" i="26"/>
  <c r="X79" i="26"/>
  <c r="Z79" i="26"/>
  <c r="AA79" i="26"/>
  <c r="AD79" i="26"/>
  <c r="AF79" i="26"/>
  <c r="AG79" i="26"/>
  <c r="AI79" i="26"/>
  <c r="AJ79" i="26"/>
  <c r="AL79" i="26"/>
  <c r="AM79" i="26"/>
  <c r="O79" i="26"/>
  <c r="L79" i="26"/>
  <c r="I79" i="26"/>
  <c r="F79" i="26"/>
  <c r="AT76" i="26"/>
  <c r="AP77" i="26"/>
  <c r="AP78" i="26"/>
  <c r="AR78" i="26" s="1"/>
  <c r="AD76" i="26"/>
  <c r="X76" i="26"/>
  <c r="U76" i="26"/>
  <c r="R76" i="26"/>
  <c r="O76" i="26"/>
  <c r="L76" i="26"/>
  <c r="AO78" i="26"/>
  <c r="AO77" i="26"/>
  <c r="I76" i="26"/>
  <c r="F76" i="26"/>
  <c r="AK76" i="22"/>
  <c r="AM76" i="22" s="1"/>
  <c r="AK75" i="22"/>
  <c r="AJ76" i="22"/>
  <c r="AJ75" i="22"/>
  <c r="X74" i="22"/>
  <c r="U74" i="22"/>
  <c r="R74" i="22"/>
  <c r="L74" i="22"/>
  <c r="I74" i="22"/>
  <c r="F74" i="22"/>
  <c r="AG74" i="22"/>
  <c r="D21" i="2" l="1"/>
  <c r="D23" i="2" s="1"/>
  <c r="F21" i="2"/>
  <c r="D76" i="4"/>
  <c r="F76" i="4" s="1"/>
  <c r="AM79" i="22"/>
  <c r="AK77" i="22"/>
  <c r="AJ74" i="22"/>
  <c r="D93" i="4"/>
  <c r="D21" i="7"/>
  <c r="F20" i="7"/>
  <c r="D50" i="6"/>
  <c r="F50" i="6" s="1"/>
  <c r="F36" i="6"/>
  <c r="D89" i="6"/>
  <c r="F89" i="6" s="1"/>
  <c r="F77" i="6"/>
  <c r="D93" i="6"/>
  <c r="D77" i="5"/>
  <c r="F55" i="5"/>
  <c r="D88" i="4"/>
  <c r="F88" i="4" s="1"/>
  <c r="D49" i="4"/>
  <c r="F49" i="4" s="1"/>
  <c r="F35" i="4"/>
  <c r="E76" i="1"/>
  <c r="E92" i="1" s="1"/>
  <c r="G54" i="1"/>
  <c r="AM77" i="22"/>
  <c r="AK74" i="22"/>
  <c r="AM74" i="22" s="1"/>
  <c r="AM75" i="22"/>
  <c r="D50" i="5"/>
  <c r="F50" i="5" s="1"/>
  <c r="F36" i="5"/>
  <c r="AP79" i="26"/>
  <c r="AR79" i="26" s="1"/>
  <c r="AR80" i="26"/>
  <c r="AP85" i="26"/>
  <c r="AR85" i="26" s="1"/>
  <c r="AR86" i="26"/>
  <c r="AP91" i="26"/>
  <c r="AR91" i="26" s="1"/>
  <c r="AP76" i="26"/>
  <c r="AR76" i="26" s="1"/>
  <c r="AR77" i="26"/>
  <c r="AM93" i="26"/>
  <c r="E49" i="1"/>
  <c r="G49" i="1" s="1"/>
  <c r="AT93" i="26"/>
  <c r="AP82" i="26"/>
  <c r="AR82" i="26" s="1"/>
  <c r="O93" i="26"/>
  <c r="AG93" i="26"/>
  <c r="L93" i="26"/>
  <c r="AI77" i="22"/>
  <c r="U93" i="26"/>
  <c r="X93" i="26"/>
  <c r="AA93" i="26"/>
  <c r="I85" i="26"/>
  <c r="AO76" i="26"/>
  <c r="AJ71" i="22"/>
  <c r="AK71" i="22"/>
  <c r="AG71" i="22"/>
  <c r="X71" i="22"/>
  <c r="U71" i="22"/>
  <c r="R71" i="22"/>
  <c r="L71" i="22"/>
  <c r="I71" i="22"/>
  <c r="AK68" i="22"/>
  <c r="AJ68" i="22"/>
  <c r="AJ67" i="22" s="1"/>
  <c r="F67" i="22"/>
  <c r="F71" i="22"/>
  <c r="AG67" i="22"/>
  <c r="AF19" i="28"/>
  <c r="AG19" i="28"/>
  <c r="AF18" i="28"/>
  <c r="AG18" i="28"/>
  <c r="AF17" i="28"/>
  <c r="AG17" i="28"/>
  <c r="AH6" i="28"/>
  <c r="AJ6" i="28" s="1"/>
  <c r="AH7" i="28"/>
  <c r="AJ7" i="28" s="1"/>
  <c r="AH8" i="28"/>
  <c r="AJ8" i="28" s="1"/>
  <c r="AH9" i="28"/>
  <c r="AJ9" i="28" s="1"/>
  <c r="AH10" i="28"/>
  <c r="AJ10" i="28" s="1"/>
  <c r="AH11" i="28"/>
  <c r="AJ11" i="28" s="1"/>
  <c r="AH12" i="28"/>
  <c r="AJ12" i="28" s="1"/>
  <c r="AH13" i="28"/>
  <c r="AJ13" i="28" s="1"/>
  <c r="AH14" i="28"/>
  <c r="AJ14" i="28" s="1"/>
  <c r="AH15" i="28"/>
  <c r="AJ15" i="28" s="1"/>
  <c r="AH16" i="28"/>
  <c r="AJ16" i="28" s="1"/>
  <c r="AH5" i="28"/>
  <c r="AJ5" i="28" s="1"/>
  <c r="H17" i="28"/>
  <c r="AC17" i="28"/>
  <c r="AC18" i="28"/>
  <c r="AC19" i="28"/>
  <c r="Z17" i="28"/>
  <c r="Z18" i="28"/>
  <c r="Z19" i="28"/>
  <c r="W17" i="28"/>
  <c r="W18" i="28"/>
  <c r="W19" i="28"/>
  <c r="T17" i="28"/>
  <c r="T18" i="28"/>
  <c r="T19" i="28"/>
  <c r="Q17" i="28"/>
  <c r="Q18" i="28"/>
  <c r="Q19" i="28"/>
  <c r="N17" i="28"/>
  <c r="N18" i="28"/>
  <c r="N19" i="28"/>
  <c r="K17" i="28"/>
  <c r="K18" i="28"/>
  <c r="K19" i="28"/>
  <c r="H18" i="28"/>
  <c r="H19" i="28"/>
  <c r="E18" i="28"/>
  <c r="E19" i="28"/>
  <c r="AD6" i="24"/>
  <c r="AF6" i="24" s="1"/>
  <c r="AD7" i="24"/>
  <c r="AF7" i="24" s="1"/>
  <c r="AD8" i="24"/>
  <c r="AF8" i="24" s="1"/>
  <c r="AD9" i="24"/>
  <c r="AF9" i="24" s="1"/>
  <c r="AD10" i="24"/>
  <c r="AD11" i="24"/>
  <c r="AF11" i="24" s="1"/>
  <c r="AD12" i="24"/>
  <c r="AF12" i="24" s="1"/>
  <c r="AD13" i="24"/>
  <c r="AF13" i="24" s="1"/>
  <c r="AD14" i="24"/>
  <c r="AF14" i="24" s="1"/>
  <c r="AD15" i="24"/>
  <c r="AF15" i="24" s="1"/>
  <c r="AD16" i="24"/>
  <c r="AF16" i="24" s="1"/>
  <c r="AD5" i="24"/>
  <c r="AF5" i="24" s="1"/>
  <c r="AC10" i="24"/>
  <c r="AC19" i="24" s="1"/>
  <c r="AB10" i="24"/>
  <c r="AC5" i="24"/>
  <c r="AC18" i="24" s="1"/>
  <c r="Y19" i="24"/>
  <c r="Z19" i="24"/>
  <c r="Y18" i="24"/>
  <c r="Z18" i="24"/>
  <c r="Y17" i="24"/>
  <c r="Z17" i="24"/>
  <c r="D92" i="4" l="1"/>
  <c r="AH19" i="28"/>
  <c r="AJ19" i="28" s="1"/>
  <c r="F21" i="7"/>
  <c r="D23" i="7"/>
  <c r="I23" i="7"/>
  <c r="D89" i="5"/>
  <c r="F89" i="5" s="1"/>
  <c r="F77" i="5"/>
  <c r="D93" i="5"/>
  <c r="E88" i="1"/>
  <c r="G88" i="1" s="1"/>
  <c r="G76" i="1"/>
  <c r="AK67" i="22"/>
  <c r="AM67" i="22" s="1"/>
  <c r="AM68" i="22"/>
  <c r="AD19" i="24"/>
  <c r="AF19" i="24" s="1"/>
  <c r="AF10" i="24"/>
  <c r="AD18" i="24"/>
  <c r="AF18" i="24" s="1"/>
  <c r="AD17" i="24"/>
  <c r="AF17" i="24" s="1"/>
  <c r="AC17" i="24"/>
  <c r="AH17" i="28"/>
  <c r="AJ17" i="28" s="1"/>
  <c r="AH18" i="28"/>
  <c r="AJ18" i="28" s="1"/>
  <c r="E17" i="28"/>
  <c r="W18" i="24"/>
  <c r="W19" i="24"/>
  <c r="T17" i="24"/>
  <c r="T18" i="24"/>
  <c r="T19" i="24"/>
  <c r="Q17" i="24"/>
  <c r="Q18" i="24"/>
  <c r="Q19" i="24"/>
  <c r="N17" i="24"/>
  <c r="N18" i="24"/>
  <c r="N19" i="24"/>
  <c r="K17" i="24"/>
  <c r="K18" i="24"/>
  <c r="K19" i="24"/>
  <c r="H17" i="24"/>
  <c r="H18" i="24"/>
  <c r="H19" i="24"/>
  <c r="E17" i="24"/>
  <c r="E18" i="24"/>
  <c r="E19" i="24"/>
  <c r="AH7" i="27" l="1"/>
  <c r="AH9" i="27" s="1"/>
  <c r="AJ9" i="27" s="1"/>
  <c r="AH5" i="27"/>
  <c r="AJ5" i="27" s="1"/>
  <c r="AF5" i="27"/>
  <c r="AF10" i="27" s="1"/>
  <c r="AF7" i="27"/>
  <c r="AF9" i="27"/>
  <c r="AH10" i="27"/>
  <c r="AJ10" i="27" s="1"/>
  <c r="AC8" i="27"/>
  <c r="AC9" i="27"/>
  <c r="AC10" i="27"/>
  <c r="Z8" i="27"/>
  <c r="Z9" i="27"/>
  <c r="Z10" i="27"/>
  <c r="W8" i="27"/>
  <c r="W9" i="27"/>
  <c r="W10" i="27"/>
  <c r="T8" i="27"/>
  <c r="T9" i="27"/>
  <c r="T10" i="27"/>
  <c r="Q8" i="27"/>
  <c r="Q9" i="27"/>
  <c r="Q10" i="27"/>
  <c r="N8" i="27"/>
  <c r="N9" i="27"/>
  <c r="N10" i="27"/>
  <c r="K8" i="27"/>
  <c r="K9" i="27"/>
  <c r="K10" i="27"/>
  <c r="H8" i="27"/>
  <c r="H9" i="27"/>
  <c r="H10" i="27"/>
  <c r="E10" i="27"/>
  <c r="E9" i="27"/>
  <c r="E8" i="27"/>
  <c r="AF8" i="27" l="1"/>
  <c r="AH8" i="27"/>
  <c r="AJ8" i="27" s="1"/>
  <c r="AJ7" i="27"/>
  <c r="AC10" i="23"/>
  <c r="AE10" i="23" s="1"/>
  <c r="AB5" i="23"/>
  <c r="Y10" i="23"/>
  <c r="Z10" i="23"/>
  <c r="Y9" i="23"/>
  <c r="Z9" i="23"/>
  <c r="Y8" i="23"/>
  <c r="Z8" i="23"/>
  <c r="W8" i="23"/>
  <c r="W9" i="23"/>
  <c r="W10" i="23"/>
  <c r="T8" i="23"/>
  <c r="T9" i="23"/>
  <c r="T10" i="23"/>
  <c r="Q8" i="23"/>
  <c r="Q9" i="23"/>
  <c r="Q10" i="23"/>
  <c r="N8" i="23"/>
  <c r="N9" i="23"/>
  <c r="N10" i="23"/>
  <c r="K8" i="23"/>
  <c r="K9" i="23"/>
  <c r="K10" i="23"/>
  <c r="H8" i="23"/>
  <c r="H9" i="23"/>
  <c r="H10" i="23"/>
  <c r="E8" i="23"/>
  <c r="E9" i="23"/>
  <c r="E10" i="23"/>
  <c r="AH6" i="29"/>
  <c r="AJ6" i="29" s="1"/>
  <c r="AH5" i="29"/>
  <c r="AJ5" i="29" s="1"/>
  <c r="AF6" i="29"/>
  <c r="AF9" i="29" s="1"/>
  <c r="AG6" i="29"/>
  <c r="AE6" i="29"/>
  <c r="AF5" i="29"/>
  <c r="AG5" i="29"/>
  <c r="AG7" i="29" s="1"/>
  <c r="AF8" i="29"/>
  <c r="AH8" i="29"/>
  <c r="AJ8" i="29" s="1"/>
  <c r="AG9" i="29"/>
  <c r="AH9" i="29"/>
  <c r="AJ9" i="29" s="1"/>
  <c r="AC7" i="29"/>
  <c r="AC8" i="29"/>
  <c r="AC9" i="29"/>
  <c r="Z7" i="29"/>
  <c r="Z8" i="29"/>
  <c r="Z9" i="29"/>
  <c r="W7" i="29"/>
  <c r="W8" i="29"/>
  <c r="W9" i="29"/>
  <c r="T7" i="29"/>
  <c r="T8" i="29"/>
  <c r="T9" i="29"/>
  <c r="Q7" i="29"/>
  <c r="Q8" i="29"/>
  <c r="Q9" i="29"/>
  <c r="N7" i="29"/>
  <c r="N8" i="29"/>
  <c r="N9" i="29"/>
  <c r="K7" i="29"/>
  <c r="K8" i="29"/>
  <c r="K9" i="29"/>
  <c r="H9" i="29"/>
  <c r="H8" i="29"/>
  <c r="E9" i="29"/>
  <c r="E8" i="29"/>
  <c r="H7" i="29"/>
  <c r="E7" i="29"/>
  <c r="Z9" i="25"/>
  <c r="AB9" i="25" s="1"/>
  <c r="Z6" i="25"/>
  <c r="AB6" i="25" s="1"/>
  <c r="Z5" i="25"/>
  <c r="W9" i="25"/>
  <c r="W8" i="25"/>
  <c r="W7" i="25"/>
  <c r="Z7" i="25" s="1"/>
  <c r="AB7" i="25" s="1"/>
  <c r="AK6" i="22"/>
  <c r="AK7" i="22"/>
  <c r="AM7" i="22" s="1"/>
  <c r="AK8" i="22"/>
  <c r="AM8" i="22" s="1"/>
  <c r="AK9" i="22"/>
  <c r="AM9" i="22" s="1"/>
  <c r="AK10" i="22"/>
  <c r="AM10" i="22" s="1"/>
  <c r="AK5" i="22"/>
  <c r="AK13" i="22"/>
  <c r="AM13" i="22" s="1"/>
  <c r="AK14" i="22"/>
  <c r="AM14" i="22" s="1"/>
  <c r="AK15" i="22"/>
  <c r="AM15" i="22" s="1"/>
  <c r="AK16" i="22"/>
  <c r="AK17" i="22"/>
  <c r="AM17" i="22" s="1"/>
  <c r="AK21" i="22"/>
  <c r="AM21" i="22" s="1"/>
  <c r="AK22" i="22"/>
  <c r="AM22" i="22" s="1"/>
  <c r="AK23" i="22"/>
  <c r="AM23" i="22" s="1"/>
  <c r="AK24" i="22"/>
  <c r="AM24" i="22" s="1"/>
  <c r="AK25" i="22"/>
  <c r="AM25" i="22" s="1"/>
  <c r="AK26" i="22"/>
  <c r="AM26" i="22" s="1"/>
  <c r="AK29" i="22"/>
  <c r="AM29" i="22" s="1"/>
  <c r="AK30" i="22"/>
  <c r="AM30" i="22" s="1"/>
  <c r="AK31" i="22"/>
  <c r="AM31" i="22" s="1"/>
  <c r="AK34" i="22"/>
  <c r="AM34" i="22" s="1"/>
  <c r="AK35" i="22"/>
  <c r="AM35" i="22" s="1"/>
  <c r="AK36" i="22"/>
  <c r="AM36" i="22" s="1"/>
  <c r="AK41" i="22"/>
  <c r="AM41" i="22" s="1"/>
  <c r="AK42" i="22"/>
  <c r="AM42" i="22" s="1"/>
  <c r="AK44" i="22"/>
  <c r="AM44" i="22" s="1"/>
  <c r="AK45" i="22"/>
  <c r="AM45" i="22" s="1"/>
  <c r="AK46" i="22"/>
  <c r="AM46" i="22" s="1"/>
  <c r="AK47" i="22"/>
  <c r="AM47" i="22" s="1"/>
  <c r="AK48" i="22"/>
  <c r="AM48" i="22" s="1"/>
  <c r="AK61" i="22"/>
  <c r="AM61" i="22" s="1"/>
  <c r="AK62" i="22"/>
  <c r="AM62" i="22" s="1"/>
  <c r="AK12" i="22"/>
  <c r="AM12" i="22" s="1"/>
  <c r="AJ5" i="22"/>
  <c r="AI5" i="22"/>
  <c r="AJ6" i="22"/>
  <c r="AJ7" i="22"/>
  <c r="AJ8" i="22"/>
  <c r="AJ9" i="22"/>
  <c r="AJ10" i="22"/>
  <c r="AJ12" i="22"/>
  <c r="AJ13" i="22"/>
  <c r="AJ14" i="22"/>
  <c r="AJ15" i="22"/>
  <c r="AJ16" i="22"/>
  <c r="AJ17" i="22"/>
  <c r="AJ21" i="22"/>
  <c r="AJ22" i="22"/>
  <c r="AJ23" i="22"/>
  <c r="AJ24" i="22"/>
  <c r="AJ25" i="22"/>
  <c r="AJ26" i="22"/>
  <c r="AJ29" i="22"/>
  <c r="AJ30" i="22"/>
  <c r="AJ31" i="22"/>
  <c r="AJ34" i="22"/>
  <c r="AJ35" i="22"/>
  <c r="AJ36" i="22"/>
  <c r="AJ37" i="22"/>
  <c r="AJ38" i="22"/>
  <c r="AJ41" i="22"/>
  <c r="AJ42" i="22"/>
  <c r="AJ44" i="22"/>
  <c r="AJ45" i="22"/>
  <c r="AJ46" i="22"/>
  <c r="AJ47" i="22"/>
  <c r="AJ48" i="22"/>
  <c r="AJ61" i="22"/>
  <c r="AJ62" i="22"/>
  <c r="AG84" i="22"/>
  <c r="AF64" i="22"/>
  <c r="X64" i="22"/>
  <c r="X66" i="22"/>
  <c r="X63" i="22"/>
  <c r="X81" i="22" s="1"/>
  <c r="U63" i="22"/>
  <c r="U81" i="22" s="1"/>
  <c r="U64" i="22"/>
  <c r="U83" i="22" s="1"/>
  <c r="U66" i="22"/>
  <c r="U84" i="22" s="1"/>
  <c r="R66" i="22"/>
  <c r="R84" i="22" s="1"/>
  <c r="AK32" i="22"/>
  <c r="AM32" i="22" s="1"/>
  <c r="AK33" i="22"/>
  <c r="AM33" i="22" s="1"/>
  <c r="L83" i="22"/>
  <c r="L66" i="22"/>
  <c r="L84" i="22" s="1"/>
  <c r="I66" i="22"/>
  <c r="I84" i="22" s="1"/>
  <c r="I64" i="22"/>
  <c r="F66" i="22"/>
  <c r="F64" i="22"/>
  <c r="L63" i="22"/>
  <c r="L81" i="22" s="1"/>
  <c r="I63" i="22"/>
  <c r="I81" i="22" s="1"/>
  <c r="F63" i="22"/>
  <c r="F81" i="22" s="1"/>
  <c r="AA88" i="26"/>
  <c r="X65" i="26"/>
  <c r="X88" i="26" s="1"/>
  <c r="U65" i="26"/>
  <c r="U88" i="26" s="1"/>
  <c r="O65" i="26"/>
  <c r="O88" i="26" s="1"/>
  <c r="L88" i="26"/>
  <c r="AM65" i="26"/>
  <c r="AM88" i="26" s="1"/>
  <c r="AG65" i="26"/>
  <c r="AG88" i="26" s="1"/>
  <c r="AD74" i="26"/>
  <c r="AD90" i="26" s="1"/>
  <c r="AD93" i="26" s="1"/>
  <c r="R74" i="26"/>
  <c r="R90" i="26" s="1"/>
  <c r="R93" i="26" s="1"/>
  <c r="AM6" i="22" l="1"/>
  <c r="AK66" i="22"/>
  <c r="Z8" i="25"/>
  <c r="AB8" i="25" s="1"/>
  <c r="AB5" i="25"/>
  <c r="AM5" i="22"/>
  <c r="F83" i="22"/>
  <c r="AC9" i="23"/>
  <c r="AE9" i="23" s="1"/>
  <c r="AE7" i="23"/>
  <c r="AG8" i="29"/>
  <c r="AF7" i="29"/>
  <c r="U86" i="22"/>
  <c r="R63" i="22"/>
  <c r="R81" i="22" s="1"/>
  <c r="R64" i="22"/>
  <c r="R83" i="22" s="1"/>
  <c r="R86" i="22" s="1"/>
  <c r="AJ32" i="22"/>
  <c r="AJ33" i="22"/>
  <c r="AJ66" i="22"/>
  <c r="AJ84" i="22" s="1"/>
  <c r="AC8" i="23"/>
  <c r="AE8" i="23" s="1"/>
  <c r="L86" i="22"/>
  <c r="X84" i="22"/>
  <c r="X83" i="22"/>
  <c r="F84" i="22"/>
  <c r="F86" i="22" s="1"/>
  <c r="I83" i="22"/>
  <c r="I86" i="22" s="1"/>
  <c r="AD65" i="26"/>
  <c r="AD88" i="26" s="1"/>
  <c r="R65" i="26"/>
  <c r="R88" i="26" s="1"/>
  <c r="AH7" i="29"/>
  <c r="AJ7" i="29" s="1"/>
  <c r="AR30" i="26"/>
  <c r="AP28" i="26"/>
  <c r="AR28" i="26" s="1"/>
  <c r="AP27" i="26"/>
  <c r="AR27" i="26" s="1"/>
  <c r="AK84" i="22" l="1"/>
  <c r="AM84" i="22" s="1"/>
  <c r="AM66" i="22"/>
  <c r="AK64" i="22"/>
  <c r="F65" i="26"/>
  <c r="F88" i="26" s="1"/>
  <c r="AP6" i="26"/>
  <c r="AK40" i="22"/>
  <c r="AK63" i="22" s="1"/>
  <c r="AJ40" i="22"/>
  <c r="AJ63" i="22" s="1"/>
  <c r="AJ81" i="22" s="1"/>
  <c r="AG83" i="22"/>
  <c r="AG86" i="22" s="1"/>
  <c r="X86" i="22"/>
  <c r="F74" i="26"/>
  <c r="F90" i="26" s="1"/>
  <c r="F93" i="26" s="1"/>
  <c r="I74" i="26"/>
  <c r="I90" i="26" s="1"/>
  <c r="I93" i="26" s="1"/>
  <c r="I65" i="26"/>
  <c r="I88" i="26" s="1"/>
  <c r="AG63" i="22"/>
  <c r="AG81" i="22" s="1"/>
  <c r="AK83" i="22" l="1"/>
  <c r="AM64" i="22"/>
  <c r="AM40" i="22"/>
  <c r="AK81" i="22"/>
  <c r="AM81" i="22" s="1"/>
  <c r="AR6" i="26"/>
  <c r="AP65" i="26"/>
  <c r="AJ64" i="22"/>
  <c r="AJ83" i="22" s="1"/>
  <c r="AJ86" i="22" s="1"/>
  <c r="AP74" i="26"/>
  <c r="AM63" i="22" l="1"/>
  <c r="AK86" i="22"/>
  <c r="AM86" i="22" s="1"/>
  <c r="AM83" i="22"/>
  <c r="AP90" i="26"/>
  <c r="AR90" i="26" s="1"/>
  <c r="AR74" i="26"/>
  <c r="AT94" i="26"/>
  <c r="AR65" i="26"/>
  <c r="C15" i="2" l="1"/>
  <c r="C16" i="7"/>
  <c r="C16" i="2"/>
  <c r="C20" i="2" s="1"/>
  <c r="AJ65" i="26" l="1"/>
  <c r="AJ88" i="26" s="1"/>
  <c r="AJ75" i="26"/>
  <c r="AJ92" i="26" s="1"/>
  <c r="AJ93" i="26" s="1"/>
  <c r="C60" i="5"/>
  <c r="C66" i="5"/>
  <c r="AF83" i="22"/>
  <c r="AF84" i="22"/>
  <c r="C9" i="4"/>
  <c r="C82" i="4"/>
  <c r="C77" i="4"/>
  <c r="C73" i="4"/>
  <c r="C68" i="4" s="1"/>
  <c r="C65" i="4"/>
  <c r="C36" i="4"/>
  <c r="C25" i="4"/>
  <c r="C24" i="4" s="1"/>
  <c r="C20" i="4"/>
  <c r="C16" i="4"/>
  <c r="D65" i="1"/>
  <c r="D16" i="1"/>
  <c r="C54" i="4" l="1"/>
  <c r="C76" i="4" s="1"/>
  <c r="C88" i="4" s="1"/>
  <c r="C87" i="4"/>
  <c r="AP75" i="26"/>
  <c r="C55" i="5"/>
  <c r="AI85" i="22"/>
  <c r="K85" i="22"/>
  <c r="K83" i="22"/>
  <c r="H64" i="22"/>
  <c r="E72" i="26"/>
  <c r="AO86" i="26"/>
  <c r="AE5" i="30"/>
  <c r="AT79" i="26"/>
  <c r="AT88" i="26" s="1"/>
  <c r="AP92" i="26" l="1"/>
  <c r="AR75" i="26"/>
  <c r="AG5" i="30"/>
  <c r="AG13" i="30" s="1"/>
  <c r="AP88" i="26"/>
  <c r="AR88" i="26" s="1"/>
  <c r="AO80" i="26"/>
  <c r="AC79" i="26"/>
  <c r="H8" i="18"/>
  <c r="AP93" i="26" l="1"/>
  <c r="AR93" i="26" s="1"/>
  <c r="AR92" i="26"/>
  <c r="G10" i="23" l="1"/>
  <c r="J10" i="23"/>
  <c r="M10" i="23"/>
  <c r="P10" i="23"/>
  <c r="S10" i="23"/>
  <c r="V10" i="23"/>
  <c r="D10" i="23"/>
  <c r="AS90" i="26"/>
  <c r="H85" i="26"/>
  <c r="K85" i="26"/>
  <c r="N85" i="26"/>
  <c r="AS85" i="26"/>
  <c r="E85" i="26"/>
  <c r="H85" i="22"/>
  <c r="Q85" i="22"/>
  <c r="T85" i="22"/>
  <c r="W85" i="22"/>
  <c r="AF85" i="22"/>
  <c r="E85" i="22"/>
  <c r="W77" i="22"/>
  <c r="AF77" i="22"/>
  <c r="E77" i="22"/>
  <c r="H67" i="22"/>
  <c r="K67" i="22"/>
  <c r="AF67" i="22"/>
  <c r="E67" i="22"/>
  <c r="D13" i="30"/>
  <c r="AB9" i="31"/>
  <c r="AB8" i="31"/>
  <c r="AB7" i="31"/>
  <c r="AB6" i="31"/>
  <c r="AB15" i="31" s="1"/>
  <c r="AB5" i="31"/>
  <c r="G13" i="30"/>
  <c r="AE9" i="30"/>
  <c r="AE8" i="30"/>
  <c r="AE7" i="30"/>
  <c r="AE6" i="30"/>
  <c r="H47" i="18"/>
  <c r="AE15" i="30" l="1"/>
  <c r="AE13" i="30"/>
  <c r="AB13" i="31"/>
  <c r="AB14" i="31"/>
  <c r="AO85" i="26"/>
  <c r="AI47" i="22"/>
  <c r="AI48" i="22"/>
  <c r="AI44" i="22"/>
  <c r="AI45" i="22"/>
  <c r="AI46" i="22"/>
  <c r="AI42" i="22" l="1"/>
  <c r="AI41" i="22" l="1"/>
  <c r="AI40" i="22"/>
  <c r="W92" i="22"/>
  <c r="Z75" i="26" l="1"/>
  <c r="Z92" i="26" s="1"/>
  <c r="Z74" i="26"/>
  <c r="Z90" i="26" s="1"/>
  <c r="Z65" i="26"/>
  <c r="Z88" i="26" s="1"/>
  <c r="H35" i="18"/>
  <c r="AO22" i="26" l="1"/>
  <c r="AO5" i="26" l="1"/>
  <c r="AO6" i="26"/>
  <c r="AI22" i="22" l="1"/>
  <c r="AI16" i="22"/>
  <c r="H20" i="2" l="1"/>
  <c r="C20" i="7"/>
  <c r="H15" i="7"/>
  <c r="H21" i="7" s="1"/>
  <c r="C22" i="7" l="1"/>
  <c r="C21" i="7"/>
  <c r="H15" i="2"/>
  <c r="H21" i="2" s="1"/>
  <c r="C32" i="4"/>
  <c r="C34" i="4"/>
  <c r="C45" i="4"/>
  <c r="C46" i="4"/>
  <c r="C47" i="4"/>
  <c r="C25" i="5"/>
  <c r="C94" i="6"/>
  <c r="C35" i="4" l="1"/>
  <c r="C22" i="2"/>
  <c r="C21" i="2"/>
  <c r="C23" i="2" s="1"/>
  <c r="C48" i="4"/>
  <c r="H23" i="7"/>
  <c r="C23" i="7"/>
  <c r="H91" i="26"/>
  <c r="K91" i="26"/>
  <c r="N91" i="26"/>
  <c r="Q91" i="26"/>
  <c r="T91" i="26"/>
  <c r="W91" i="26"/>
  <c r="Z91" i="26"/>
  <c r="Z93" i="26" s="1"/>
  <c r="AC91" i="26"/>
  <c r="AF91" i="26"/>
  <c r="AI91" i="26"/>
  <c r="AL91" i="26"/>
  <c r="C49" i="4" l="1"/>
  <c r="D24" i="1"/>
  <c r="H32" i="18" l="1"/>
  <c r="H34" i="18"/>
  <c r="AO31" i="26" l="1"/>
  <c r="AO8" i="26"/>
  <c r="AO7" i="26"/>
  <c r="AS91" i="26" l="1"/>
  <c r="J10" i="27"/>
  <c r="M10" i="27"/>
  <c r="P10" i="27"/>
  <c r="S10" i="27"/>
  <c r="V10" i="27"/>
  <c r="Y10" i="27"/>
  <c r="AB10" i="27"/>
  <c r="G10" i="27"/>
  <c r="D10" i="27"/>
  <c r="AO15" i="26"/>
  <c r="E91" i="26"/>
  <c r="H58" i="18"/>
  <c r="H52" i="18"/>
  <c r="H45" i="18"/>
  <c r="H44" i="18"/>
  <c r="H41" i="18"/>
  <c r="H40" i="18"/>
  <c r="H39" i="18"/>
  <c r="H38" i="18"/>
  <c r="H37" i="18"/>
  <c r="H36" i="18"/>
  <c r="H66" i="18" l="1"/>
  <c r="H68" i="18"/>
  <c r="H65" i="18"/>
  <c r="AI25" i="22" l="1"/>
  <c r="AB9" i="29" l="1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7" i="29"/>
  <c r="Y7" i="29"/>
  <c r="V7" i="29"/>
  <c r="S7" i="29"/>
  <c r="P7" i="29"/>
  <c r="M7" i="29"/>
  <c r="J7" i="29"/>
  <c r="G7" i="29"/>
  <c r="D7" i="29"/>
  <c r="AE9" i="29"/>
  <c r="AE5" i="29"/>
  <c r="AE8" i="29" s="1"/>
  <c r="AB19" i="28"/>
  <c r="Y19" i="28"/>
  <c r="V19" i="28"/>
  <c r="S19" i="28"/>
  <c r="P19" i="28"/>
  <c r="M19" i="28"/>
  <c r="G19" i="28"/>
  <c r="D19" i="28"/>
  <c r="AB18" i="28"/>
  <c r="Y18" i="28"/>
  <c r="V18" i="28"/>
  <c r="S18" i="28"/>
  <c r="P18" i="28"/>
  <c r="M18" i="28"/>
  <c r="J18" i="28"/>
  <c r="G18" i="28"/>
  <c r="D18" i="28"/>
  <c r="AB17" i="28"/>
  <c r="Y17" i="28"/>
  <c r="V17" i="28"/>
  <c r="S17" i="28"/>
  <c r="P17" i="28"/>
  <c r="M17" i="28"/>
  <c r="G17" i="28"/>
  <c r="D17" i="28"/>
  <c r="AE16" i="28"/>
  <c r="AE15" i="28"/>
  <c r="AE14" i="28"/>
  <c r="AE13" i="28"/>
  <c r="AE12" i="28"/>
  <c r="AE11" i="28"/>
  <c r="AG10" i="28"/>
  <c r="AE10" i="28"/>
  <c r="AE9" i="28"/>
  <c r="AE8" i="28"/>
  <c r="AE7" i="28"/>
  <c r="AE6" i="28"/>
  <c r="AE5" i="28"/>
  <c r="AB9" i="27"/>
  <c r="Y9" i="27"/>
  <c r="V9" i="27"/>
  <c r="S9" i="27"/>
  <c r="P9" i="27"/>
  <c r="M9" i="27"/>
  <c r="J9" i="27"/>
  <c r="G9" i="27"/>
  <c r="AB8" i="27"/>
  <c r="Y8" i="27"/>
  <c r="V8" i="27"/>
  <c r="S8" i="27"/>
  <c r="P8" i="27"/>
  <c r="M8" i="27"/>
  <c r="J8" i="27"/>
  <c r="G8" i="27"/>
  <c r="AE7" i="27"/>
  <c r="AG7" i="27" s="1"/>
  <c r="D9" i="27"/>
  <c r="AS82" i="26"/>
  <c r="AL82" i="26"/>
  <c r="AI82" i="26"/>
  <c r="AF82" i="26"/>
  <c r="AC82" i="26"/>
  <c r="W82" i="26"/>
  <c r="T82" i="26"/>
  <c r="Q82" i="26"/>
  <c r="N82" i="26"/>
  <c r="K82" i="26"/>
  <c r="H82" i="26"/>
  <c r="E82" i="26"/>
  <c r="AS79" i="26"/>
  <c r="N79" i="26"/>
  <c r="K79" i="26"/>
  <c r="H79" i="26"/>
  <c r="E79" i="26"/>
  <c r="AO91" i="26"/>
  <c r="AS76" i="26"/>
  <c r="AL76" i="26"/>
  <c r="AI76" i="26"/>
  <c r="AF76" i="26"/>
  <c r="AC76" i="26"/>
  <c r="W76" i="26"/>
  <c r="T76" i="26"/>
  <c r="Q76" i="26"/>
  <c r="N76" i="26"/>
  <c r="K76" i="26"/>
  <c r="H76" i="26"/>
  <c r="AS75" i="26"/>
  <c r="AS92" i="26" s="1"/>
  <c r="AL75" i="26"/>
  <c r="AL92" i="26" s="1"/>
  <c r="AF75" i="26"/>
  <c r="AF92" i="26" s="1"/>
  <c r="W75" i="26"/>
  <c r="W92" i="26" s="1"/>
  <c r="T75" i="26"/>
  <c r="T92" i="26" s="1"/>
  <c r="N75" i="26"/>
  <c r="N92" i="26" s="1"/>
  <c r="K75" i="26"/>
  <c r="K92" i="26" s="1"/>
  <c r="H75" i="26"/>
  <c r="H92" i="26" s="1"/>
  <c r="E75" i="26"/>
  <c r="E92" i="26" s="1"/>
  <c r="AL74" i="26"/>
  <c r="AL90" i="26" s="1"/>
  <c r="AI74" i="26"/>
  <c r="AI90" i="26" s="1"/>
  <c r="AF74" i="26"/>
  <c r="AF90" i="26" s="1"/>
  <c r="W74" i="26"/>
  <c r="W90" i="26" s="1"/>
  <c r="T74" i="26"/>
  <c r="T90" i="26" s="1"/>
  <c r="K74" i="26"/>
  <c r="K90" i="26" s="1"/>
  <c r="H74" i="26"/>
  <c r="H90" i="26" s="1"/>
  <c r="E74" i="26"/>
  <c r="E90" i="26" s="1"/>
  <c r="AS65" i="26"/>
  <c r="AL65" i="26"/>
  <c r="AI65" i="26"/>
  <c r="AI88" i="26" s="1"/>
  <c r="AF65" i="26"/>
  <c r="AC65" i="26"/>
  <c r="AC88" i="26" s="1"/>
  <c r="W65" i="26"/>
  <c r="T65" i="26"/>
  <c r="T88" i="26" s="1"/>
  <c r="N65" i="26"/>
  <c r="H65" i="26"/>
  <c r="E65" i="26"/>
  <c r="N74" i="26"/>
  <c r="N90" i="26" s="1"/>
  <c r="AO38" i="26"/>
  <c r="AO37" i="26"/>
  <c r="AO36" i="26"/>
  <c r="AZ35" i="26"/>
  <c r="Q74" i="26"/>
  <c r="Q90" i="26" s="1"/>
  <c r="AO34" i="26"/>
  <c r="AO33" i="26"/>
  <c r="AO32" i="26"/>
  <c r="AO30" i="26"/>
  <c r="Q75" i="26"/>
  <c r="Q92" i="26" s="1"/>
  <c r="AO29" i="26"/>
  <c r="AO28" i="26"/>
  <c r="AO27" i="26"/>
  <c r="AO26" i="26"/>
  <c r="AO21" i="26"/>
  <c r="AO20" i="26"/>
  <c r="AO19" i="26"/>
  <c r="AO18" i="26"/>
  <c r="AO17" i="26"/>
  <c r="AO16" i="26"/>
  <c r="AO14" i="26"/>
  <c r="AI75" i="26"/>
  <c r="AI92" i="26" s="1"/>
  <c r="AO13" i="26"/>
  <c r="AO12" i="26"/>
  <c r="AO11" i="26"/>
  <c r="AC75" i="26"/>
  <c r="AC92" i="26" s="1"/>
  <c r="AO10" i="26"/>
  <c r="K65" i="26"/>
  <c r="AO9" i="26"/>
  <c r="AC74" i="26"/>
  <c r="AC90" i="26" s="1"/>
  <c r="V9" i="25"/>
  <c r="S9" i="25"/>
  <c r="P9" i="25"/>
  <c r="M9" i="25"/>
  <c r="J9" i="25"/>
  <c r="G9" i="25"/>
  <c r="D9" i="25"/>
  <c r="V8" i="25"/>
  <c r="S8" i="25"/>
  <c r="P8" i="25"/>
  <c r="M8" i="25"/>
  <c r="J8" i="25"/>
  <c r="G8" i="25"/>
  <c r="D8" i="25"/>
  <c r="V7" i="25"/>
  <c r="S7" i="25"/>
  <c r="P7" i="25"/>
  <c r="M7" i="25"/>
  <c r="J7" i="25"/>
  <c r="G7" i="25"/>
  <c r="D7" i="25"/>
  <c r="Y6" i="25"/>
  <c r="Y9" i="25" s="1"/>
  <c r="Y5" i="25"/>
  <c r="Y8" i="25" s="1"/>
  <c r="S19" i="24"/>
  <c r="P19" i="24"/>
  <c r="M19" i="24"/>
  <c r="J19" i="24"/>
  <c r="G19" i="24"/>
  <c r="D19" i="24"/>
  <c r="S18" i="24"/>
  <c r="P18" i="24"/>
  <c r="M18" i="24"/>
  <c r="J18" i="24"/>
  <c r="G18" i="24"/>
  <c r="D18" i="24"/>
  <c r="S17" i="24"/>
  <c r="P17" i="24"/>
  <c r="M17" i="24"/>
  <c r="J17" i="24"/>
  <c r="G17" i="24"/>
  <c r="D17" i="24"/>
  <c r="AB16" i="24"/>
  <c r="AB15" i="24"/>
  <c r="AB14" i="24"/>
  <c r="AB13" i="24"/>
  <c r="AB12" i="24"/>
  <c r="AB11" i="24"/>
  <c r="V18" i="24"/>
  <c r="AB9" i="24"/>
  <c r="AB8" i="24"/>
  <c r="AB7" i="24"/>
  <c r="AB19" i="24" s="1"/>
  <c r="V19" i="24"/>
  <c r="AB6" i="24"/>
  <c r="AB5" i="24"/>
  <c r="S9" i="23"/>
  <c r="P9" i="23"/>
  <c r="M9" i="23"/>
  <c r="J9" i="23"/>
  <c r="G9" i="23"/>
  <c r="D9" i="23"/>
  <c r="S8" i="23"/>
  <c r="P8" i="23"/>
  <c r="M8" i="23"/>
  <c r="J8" i="23"/>
  <c r="G8" i="23"/>
  <c r="D8" i="23"/>
  <c r="V9" i="23"/>
  <c r="AB10" i="23"/>
  <c r="K88" i="26" l="1"/>
  <c r="AG9" i="27"/>
  <c r="N88" i="26"/>
  <c r="W88" i="26"/>
  <c r="AF88" i="26"/>
  <c r="AL88" i="26"/>
  <c r="Y7" i="25"/>
  <c r="AS88" i="26"/>
  <c r="H88" i="26"/>
  <c r="E88" i="26"/>
  <c r="H93" i="26"/>
  <c r="AS93" i="26"/>
  <c r="AE18" i="28"/>
  <c r="AO79" i="26"/>
  <c r="K93" i="26"/>
  <c r="AO82" i="26"/>
  <c r="N93" i="26"/>
  <c r="AL93" i="26"/>
  <c r="AC93" i="26"/>
  <c r="E93" i="26"/>
  <c r="Q93" i="26"/>
  <c r="W93" i="26"/>
  <c r="AB18" i="24"/>
  <c r="AE7" i="29"/>
  <c r="AE19" i="28"/>
  <c r="J17" i="28"/>
  <c r="J19" i="28"/>
  <c r="AE17" i="28"/>
  <c r="AE5" i="27"/>
  <c r="D8" i="27"/>
  <c r="T93" i="26"/>
  <c r="AF93" i="26"/>
  <c r="AI93" i="26"/>
  <c r="AO35" i="26"/>
  <c r="AO65" i="26" s="1"/>
  <c r="Q65" i="26"/>
  <c r="Q88" i="26" s="1"/>
  <c r="V17" i="24"/>
  <c r="AB17" i="24"/>
  <c r="AB7" i="23"/>
  <c r="AB9" i="23" s="1"/>
  <c r="V8" i="23"/>
  <c r="AE10" i="27" l="1"/>
  <c r="AG5" i="27"/>
  <c r="AS94" i="26"/>
  <c r="AO88" i="26"/>
  <c r="AB8" i="23"/>
  <c r="AO74" i="26"/>
  <c r="AO90" i="26" s="1"/>
  <c r="AO75" i="26"/>
  <c r="AO92" i="26" s="1"/>
  <c r="AE9" i="27"/>
  <c r="AE8" i="27"/>
  <c r="AG10" i="27" l="1"/>
  <c r="AG8" i="27"/>
  <c r="AO93" i="26"/>
  <c r="AI74" i="22"/>
  <c r="AF74" i="22"/>
  <c r="W74" i="22"/>
  <c r="T74" i="22"/>
  <c r="Q74" i="22"/>
  <c r="K74" i="22"/>
  <c r="H74" i="22"/>
  <c r="E74" i="22"/>
  <c r="AI71" i="22"/>
  <c r="AF71" i="22"/>
  <c r="W71" i="22"/>
  <c r="T71" i="22"/>
  <c r="Q71" i="22"/>
  <c r="K71" i="22"/>
  <c r="H71" i="22"/>
  <c r="E71" i="22"/>
  <c r="AI68" i="22"/>
  <c r="AI67" i="22" s="1"/>
  <c r="W66" i="22"/>
  <c r="W84" i="22" s="1"/>
  <c r="T66" i="22"/>
  <c r="T84" i="22" s="1"/>
  <c r="Q66" i="22"/>
  <c r="Q84" i="22" s="1"/>
  <c r="K66" i="22"/>
  <c r="K84" i="22" s="1"/>
  <c r="K86" i="22" s="1"/>
  <c r="H66" i="22"/>
  <c r="H84" i="22" s="1"/>
  <c r="W64" i="22"/>
  <c r="T64" i="22"/>
  <c r="Q64" i="22"/>
  <c r="E64" i="22"/>
  <c r="AF63" i="22"/>
  <c r="W63" i="22"/>
  <c r="T63" i="22"/>
  <c r="Q63" i="22"/>
  <c r="K63" i="22"/>
  <c r="E63" i="22"/>
  <c r="AI62" i="22"/>
  <c r="AI38" i="22"/>
  <c r="AI37" i="22"/>
  <c r="AI36" i="22"/>
  <c r="E66" i="22"/>
  <c r="AI66" i="22" s="1"/>
  <c r="AI35" i="22"/>
  <c r="AI34" i="22"/>
  <c r="AI33" i="22"/>
  <c r="AI32" i="22"/>
  <c r="AI31" i="22"/>
  <c r="AI30" i="22"/>
  <c r="AI29" i="22"/>
  <c r="AI26" i="22"/>
  <c r="AI24" i="22"/>
  <c r="AI23" i="22"/>
  <c r="AI21" i="22"/>
  <c r="AI17" i="22"/>
  <c r="AI15" i="22"/>
  <c r="AI14" i="22"/>
  <c r="AI13" i="22"/>
  <c r="AI12" i="22"/>
  <c r="AI10" i="22"/>
  <c r="AI9" i="22"/>
  <c r="AI8" i="22"/>
  <c r="AI7" i="22"/>
  <c r="AI6" i="22"/>
  <c r="AI63" i="22" l="1"/>
  <c r="AI81" i="22" s="1"/>
  <c r="W81" i="22"/>
  <c r="K81" i="22"/>
  <c r="AF81" i="22"/>
  <c r="Q81" i="22"/>
  <c r="T81" i="22"/>
  <c r="E83" i="22"/>
  <c r="AI64" i="22"/>
  <c r="AI83" i="22" s="1"/>
  <c r="E84" i="22"/>
  <c r="AI84" i="22"/>
  <c r="E81" i="22"/>
  <c r="H83" i="22"/>
  <c r="H86" i="22" s="1"/>
  <c r="T83" i="22"/>
  <c r="T86" i="22" s="1"/>
  <c r="W83" i="22"/>
  <c r="W86" i="22" s="1"/>
  <c r="AF86" i="22"/>
  <c r="Q83" i="22"/>
  <c r="Q86" i="22" s="1"/>
  <c r="H63" i="22"/>
  <c r="H81" i="22" s="1"/>
  <c r="E86" i="22" l="1"/>
  <c r="AI86" i="22"/>
  <c r="C83" i="6"/>
  <c r="C78" i="6"/>
  <c r="C88" i="6" s="1"/>
  <c r="C69" i="6"/>
  <c r="C55" i="6"/>
  <c r="C77" i="6" s="1"/>
  <c r="C89" i="6" s="1"/>
  <c r="C43" i="6"/>
  <c r="C37" i="6"/>
  <c r="C49" i="6" s="1"/>
  <c r="C24" i="6"/>
  <c r="C20" i="6"/>
  <c r="C16" i="6"/>
  <c r="C9" i="6"/>
  <c r="C36" i="6" s="1"/>
  <c r="C83" i="5"/>
  <c r="C78" i="5"/>
  <c r="C69" i="5"/>
  <c r="C43" i="5"/>
  <c r="C37" i="5"/>
  <c r="C49" i="5" s="1"/>
  <c r="C24" i="5"/>
  <c r="C20" i="5"/>
  <c r="C9" i="5"/>
  <c r="D82" i="1"/>
  <c r="D77" i="1"/>
  <c r="D68" i="1"/>
  <c r="D54" i="1"/>
  <c r="D42" i="1"/>
  <c r="D36" i="1"/>
  <c r="D20" i="1"/>
  <c r="D9" i="1"/>
  <c r="D35" i="1" l="1"/>
  <c r="C94" i="5"/>
  <c r="C88" i="5"/>
  <c r="C77" i="5"/>
  <c r="C89" i="5" s="1"/>
  <c r="D76" i="1"/>
  <c r="C50" i="6"/>
  <c r="C93" i="6"/>
  <c r="D48" i="1"/>
  <c r="C36" i="5"/>
  <c r="D87" i="1"/>
  <c r="C50" i="5" l="1"/>
  <c r="C93" i="5"/>
  <c r="C92" i="4"/>
  <c r="D88" i="1"/>
  <c r="D93" i="1"/>
  <c r="C93" i="4"/>
  <c r="D49" i="1"/>
  <c r="D92" i="1"/>
</calcChain>
</file>

<file path=xl/sharedStrings.xml><?xml version="1.0" encoding="utf-8"?>
<sst xmlns="http://schemas.openxmlformats.org/spreadsheetml/2006/main" count="1901" uniqueCount="572">
  <si>
    <t>Medgyesegyháza Városi Önkormányzat</t>
  </si>
  <si>
    <t>BEVÉTELEK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</si>
  <si>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</si>
  <si>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</si>
  <si>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</si>
  <si>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</si>
  <si>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</si>
  <si>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</si>
  <si>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</si>
  <si>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</si>
  <si>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</si>
  <si>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</si>
  <si>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</si>
  <si>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</si>
  <si>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</si>
  <si>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</si>
  <si>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</si>
  <si>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</si>
  <si>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</si>
  <si>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</si>
  <si>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</si>
  <si>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</si>
  <si>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</si>
  <si>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</si>
  <si>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</si>
  <si>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</si>
  <si>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</si>
  <si>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</si>
  <si>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</si>
  <si>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</si>
  <si>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</si>
  <si>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</si>
  <si>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</si>
  <si>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</si>
  <si>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</si>
  <si>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</si>
  <si>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</si>
  <si>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</si>
  <si>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</si>
  <si>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</si>
  <si>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</si>
  <si>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</si>
  <si>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</si>
  <si>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</si>
  <si>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</si>
  <si>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</si>
  <si>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Termékek és szolgáltatások adói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</si>
  <si>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</si>
  <si>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</si>
  <si>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</si>
  <si>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</si>
  <si>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</si>
  <si>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</si>
  <si>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</si>
  <si>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</si>
  <si>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</si>
  <si>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</si>
  <si>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</si>
  <si>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</si>
  <si>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</si>
  <si>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</si>
  <si>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</si>
  <si>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</si>
  <si>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</si>
  <si>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</si>
  <si>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</si>
  <si>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</si>
  <si>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</si>
  <si>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</si>
  <si>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</si>
  <si>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</si>
  <si>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</si>
  <si>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</si>
  <si>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</si>
  <si>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</si>
  <si>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</si>
  <si>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</si>
  <si>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</si>
  <si>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</si>
  <si>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</si>
  <si>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</si>
  <si>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</si>
  <si>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</si>
  <si>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</si>
  <si>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</si>
  <si>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</si>
  <si>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</si>
  <si>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</si>
  <si>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</si>
  <si>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</si>
  <si>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</si>
  <si>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</si>
  <si>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</si>
  <si>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</si>
  <si>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</si>
  <si>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</si>
  <si>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</si>
  <si>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</si>
  <si>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</si>
  <si>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</si>
  <si>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</si>
  <si>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</si>
  <si>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</si>
  <si>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</si>
  <si>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</si>
  <si>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</si>
  <si>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</si>
  <si>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</si>
  <si>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</si>
  <si>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</si>
  <si>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</si>
  <si>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</si>
  <si>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</si>
  <si>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</si>
  <si>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</si>
  <si>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</si>
  <si>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</si>
  <si>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</si>
  <si>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</si>
  <si>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</si>
  <si>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</si>
  <si>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</si>
  <si>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</si>
  <si>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</si>
  <si>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</si>
  <si>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</si>
  <si>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</si>
  <si>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</si>
  <si>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</si>
  <si>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</si>
  <si>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</si>
  <si>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</si>
  <si>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</si>
  <si>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</si>
  <si>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</si>
  <si>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</si>
  <si>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</si>
  <si>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</si>
  <si>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</si>
  <si>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</si>
  <si>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</si>
  <si>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</si>
  <si>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</si>
  <si>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</si>
  <si>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</si>
  <si>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</si>
  <si>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</si>
  <si>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</si>
  <si>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</si>
  <si>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</si>
  <si>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</si>
  <si>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</si>
  <si>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</si>
  <si>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</si>
  <si>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</si>
  <si>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</si>
  <si>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</si>
  <si>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Dologi Kiadások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</si>
  <si>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</si>
  <si>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</si>
  <si>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</si>
  <si>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</si>
  <si>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</si>
  <si>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</si>
  <si>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</si>
  <si>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Likviditási célú hitelek, kölcsönök felvétele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</si>
  <si>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</si>
  <si>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</si>
  <si>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</si>
  <si>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</si>
  <si>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</si>
  <si>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</si>
  <si>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</si>
  <si>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</si>
  <si>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</si>
  <si>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</si>
  <si>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</si>
  <si>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</si>
  <si>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</si>
  <si>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</si>
  <si>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</si>
  <si>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</si>
  <si>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</si>
  <si>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</si>
  <si>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</si>
  <si>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</si>
  <si>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</si>
  <si>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</si>
  <si>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F</t>
  </si>
  <si>
    <t>Beruházás megnevezése</t>
  </si>
  <si>
    <t>Teljes költség</t>
  </si>
  <si>
    <t>Kivitelezés kezdési 
és befejezési éve</t>
  </si>
  <si>
    <t>Összesen:</t>
  </si>
  <si>
    <t>Felújítás megnevezése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</si>
  <si>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</si>
  <si>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</si>
  <si>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</si>
  <si>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</si>
  <si>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</si>
  <si>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</si>
  <si>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</si>
  <si>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</si>
  <si>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</si>
  <si>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</si>
  <si>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</si>
  <si>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</si>
  <si>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2014. évi teljesítés</t>
  </si>
  <si>
    <t>kötelező</t>
  </si>
  <si>
    <t>Iparűzési adó</t>
  </si>
  <si>
    <t>Termőföld bérbeadás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</si>
  <si>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</si>
  <si>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</si>
  <si>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</si>
  <si>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</si>
  <si>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</si>
  <si>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</si>
  <si>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</si>
  <si>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</si>
  <si>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</si>
  <si>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</si>
  <si>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</si>
  <si>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</si>
  <si>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</si>
  <si>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</si>
  <si>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A települési önkormányzatok szociáis szakosított ellátási feladatok tám.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</si>
  <si>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</si>
  <si>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</si>
  <si>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</si>
  <si>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</si>
  <si>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</si>
  <si>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>Jelzőrendszeres házi segítségnyújtás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</si>
  <si>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</si>
  <si>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</si>
  <si>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</si>
  <si>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</si>
  <si>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</si>
  <si>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</si>
  <si>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</si>
  <si>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</si>
  <si>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</si>
  <si>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</si>
  <si>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</si>
  <si>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</si>
  <si>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</si>
  <si>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</si>
  <si>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</si>
  <si>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</si>
  <si>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</si>
  <si>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</si>
  <si>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</si>
  <si>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</si>
  <si>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2014. évi 
eredeti ei</t>
  </si>
  <si>
    <t>Önkormányzati igazgatási tevékenység</t>
  </si>
  <si>
    <t>Alaptevékenység összesen</t>
  </si>
  <si>
    <t>Kötelező:</t>
  </si>
  <si>
    <t>Kötelező/nem kötelező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</si>
  <si>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</si>
  <si>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</si>
  <si>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</si>
  <si>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</si>
  <si>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</si>
  <si>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</si>
  <si>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</si>
  <si>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</si>
  <si>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</si>
  <si>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Vagyongazdálkodás</t>
  </si>
  <si>
    <t>Óvodai nevelés, ellátás</t>
  </si>
  <si>
    <t>TÁMOP-3.2.11/10-1-2010-0220 pályázat utóköv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</si>
  <si>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</si>
  <si>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</si>
  <si>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</si>
  <si>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</si>
  <si>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</si>
  <si>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</si>
  <si>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</si>
  <si>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</si>
  <si>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</si>
  <si>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</si>
  <si>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Szakfeladat/Feladat</t>
  </si>
  <si>
    <t>Polgármesteri keret</t>
  </si>
  <si>
    <t>Lakóingatlanok bérbe adása</t>
  </si>
  <si>
    <t>Nem lakóingatlan bérbeadása, üzemeltetése</t>
  </si>
  <si>
    <t>Üzemorvosi díj</t>
  </si>
  <si>
    <t>Közvilágítás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</si>
  <si>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</si>
  <si>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</si>
  <si>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</si>
  <si>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</si>
  <si>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</si>
  <si>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</si>
  <si>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Általános Iskola - TÁMOP utókövetés</t>
  </si>
  <si>
    <t>Óvodai gyermekétkeztetés</t>
  </si>
  <si>
    <t>Iskolai gyermekétkeztetés</t>
  </si>
  <si>
    <t>Kötelező/ nem kötelező</t>
  </si>
  <si>
    <t>Finanszíroszási kiadások</t>
  </si>
  <si>
    <t>Engedélyezett létszám</t>
  </si>
  <si>
    <t>ebből: közfoglalkoztatott:</t>
  </si>
  <si>
    <t>2014.évi
 felhasználás</t>
  </si>
  <si>
    <t>Időskorúak bentlakásos szoc. ell.</t>
  </si>
  <si>
    <t xml:space="preserve">Engedélyezett létszám </t>
  </si>
  <si>
    <t>TÁMOP-3.2.11/10-1-2010-0220 
pályázat utókövetés</t>
  </si>
  <si>
    <t xml:space="preserve">Engedélyezett létszám           </t>
  </si>
  <si>
    <t>Kiegészító támogatás az óvodaped minősítéséből adódó többletkiadáshoz</t>
  </si>
  <si>
    <t>Céltartalék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</si>
  <si>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</si>
  <si>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</si>
  <si>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</si>
  <si>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</si>
  <si>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</si>
  <si>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</si>
  <si>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</si>
  <si>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</si>
  <si>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</si>
  <si>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</si>
  <si>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</si>
  <si>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</si>
  <si>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</si>
  <si>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Felhamozási céltartalék</t>
  </si>
  <si>
    <t>Költségvetési kiadások összesen: (1.+3.+5.+6.)</t>
  </si>
  <si>
    <t>Működési célú finanszírozási kiadások összesen: (=9.)</t>
  </si>
  <si>
    <t>Egyéb kötelező önkormányzati feladatok támogatása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</si>
  <si>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</si>
  <si>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</si>
  <si>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</si>
  <si>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</si>
  <si>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Felhasználás 
2016. XII. 31-ig</t>
  </si>
  <si>
    <t>ASP rendszer kialakítása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</si>
  <si>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</si>
  <si>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</si>
  <si>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</si>
  <si>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</si>
  <si>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Szennyvíz- és ivóvízhálózat gördülő tervezés miatti kiadásai</t>
  </si>
  <si>
    <t>Állami támogatások és megelőlegezések  visszafizetése</t>
  </si>
  <si>
    <t>Bursa Hungarica ösztöndíj</t>
  </si>
  <si>
    <t>Hulladéklerakó rekultiválás</t>
  </si>
  <si>
    <t>Gyógyszertámogatás</t>
  </si>
  <si>
    <t xml:space="preserve">TOP-5.2-1-15-BS1 Társadalmi együttműködés erősítését szolgáló helyi szintű </t>
  </si>
  <si>
    <t>TOP-2.1.2-15-BS1 Zöld város kialakítása</t>
  </si>
  <si>
    <t xml:space="preserve">TOP-5.2.1-15-BS1 Társadalmi együttműködés erősítését szolgáló helyi szintű </t>
  </si>
  <si>
    <t>TOP-1.4.1-15-BS1 Foglalkoztatás és életminőség javítása családbarát munkába….</t>
  </si>
  <si>
    <t>TOP-4.3.1-15-BS1 leromlot városi területek rehabilitációja</t>
  </si>
  <si>
    <t>TOP-4.3.1-15-BS1 Leromlot városi területek rehabilitációja</t>
  </si>
  <si>
    <t>TOP-4.1.1-15-BS1 Egészségügyi ellátás infrastukturális fejlesztése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</si>
  <si>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</si>
  <si>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</si>
  <si>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</si>
  <si>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</si>
  <si>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</si>
  <si>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</si>
  <si>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</si>
  <si>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</si>
  <si>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</si>
  <si>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</si>
  <si>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</si>
  <si>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</si>
  <si>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</si>
  <si>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</si>
  <si>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</si>
  <si>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</si>
  <si>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</si>
  <si>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</si>
  <si>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Medgyesegyháza Polgármesteri Hivatal</t>
  </si>
  <si>
    <t>1 fő munkatörvénykönyves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</si>
  <si>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</si>
  <si>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</si>
  <si>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</si>
  <si>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</si>
  <si>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16 fő köztisztviselő</t>
  </si>
  <si>
    <t>1 fő alpolgármester</t>
  </si>
  <si>
    <t>5 fő képviselő</t>
  </si>
  <si>
    <t>1.5.-ből Előző évi elszámolásból származó befizetések</t>
  </si>
  <si>
    <t>Felhalmozási célra átvett pénzeszköz</t>
  </si>
  <si>
    <t>Önkormányzatok felhalmozási támogatása</t>
  </si>
  <si>
    <t>Kompenzáció</t>
  </si>
  <si>
    <t>1.-ből EU-s forrásból megvalósuló beruházás</t>
  </si>
  <si>
    <t>117-</t>
  </si>
  <si>
    <t>Felhalmozási bevétel</t>
  </si>
  <si>
    <t>TOP-5.1.2-15-BS1 Foglalkoztatási paktum</t>
  </si>
  <si>
    <t>1.5.1</t>
  </si>
  <si>
    <t>1.5.2</t>
  </si>
  <si>
    <t>1.5.3</t>
  </si>
  <si>
    <t>1.5.4</t>
  </si>
  <si>
    <t>1.5.5</t>
  </si>
  <si>
    <t>1.6.1</t>
  </si>
  <si>
    <t>1.6.2</t>
  </si>
  <si>
    <t>Működési költségvetés kiadásai (1.1.+…+1.5.+1.6.)</t>
  </si>
  <si>
    <t>Előző évi költségvetési maradvány igénybe vétele</t>
  </si>
  <si>
    <t>Egyéb felhalmozási bevételek</t>
  </si>
  <si>
    <t>átlagos statisztikai 
állományi létszám</t>
  </si>
  <si>
    <t>1.1. melléklet a          /2018.(………………) önkormányzati rendelethez</t>
  </si>
  <si>
    <t>2018. ÉVI KÖLTSÉGVETÉSÉNEK ÖSSZEVONT MÉRLEGE (forintban)</t>
  </si>
  <si>
    <t>2018. évi 
előirányzat</t>
  </si>
  <si>
    <t>2018. évi
mód. előir</t>
  </si>
  <si>
    <t>2018. évi telj</t>
  </si>
  <si>
    <t>2018. 
telj %</t>
  </si>
  <si>
    <t>1.2. melléklet a          /2018.(………………) önkormányzati rendelethez</t>
  </si>
  <si>
    <t>2018. ÉVI KÖLTSÉGVETÉS KÖTELEZŐ FELADATAINAK MÉRLEGE (forintban)</t>
  </si>
  <si>
    <t>1.3. melléklet a          /2018.(………………) önkormányzati rendelethez</t>
  </si>
  <si>
    <t>2018. ÉVI KÖLTSÉGVETÉS ÖNKÉNT VÁLLALT FELADATAINAK MÉRLEGE
(forintban)</t>
  </si>
  <si>
    <t>1.4. melléklet a …….../2018.(………………) önkormányzati rendelethez</t>
  </si>
  <si>
    <t>2018. ÉVI KÖLTSÉGVETÉS ÁLLAMIGAZGATÁSI FELADATAINAK MÉRLEGE
forintban</t>
  </si>
  <si>
    <t>2.1. melléklet a              ………/2018.(………..) önkormányzati rendelethez</t>
  </si>
  <si>
    <t>2018. 
évi telj</t>
  </si>
  <si>
    <t>2.2. melléklet a  ………/2018.(………..) önkormányzati rendelethez</t>
  </si>
  <si>
    <t>3.1. melléklet a ……./2018.(……………..) önkormányzati rendelethez</t>
  </si>
  <si>
    <t>2018. évi előirányzat</t>
  </si>
  <si>
    <t>2018. 
mód ei.</t>
  </si>
  <si>
    <t>2018. évi
 előirányzat</t>
  </si>
  <si>
    <t>Ebből 2018. évi előleg</t>
  </si>
  <si>
    <t>3.2. melléklet ..../2018. (…...) önkormányzati rendelethez</t>
  </si>
  <si>
    <t>2018. évi eredeti ei.</t>
  </si>
  <si>
    <t>2018. évi
 telj</t>
  </si>
  <si>
    <t>2018. évi 
telj</t>
  </si>
  <si>
    <t>2018. évi 
eredeti ei.</t>
  </si>
  <si>
    <t>2018. évi
telj</t>
  </si>
  <si>
    <t>3.3.  melléklet a .../2018. (....) önkormányzati rendelethez</t>
  </si>
  <si>
    <t>2018. 
telj</t>
  </si>
  <si>
    <t>2018.
telj %</t>
  </si>
  <si>
    <t>3.4.  melléklet a .../2018. (....) önkormányzati rendelethez</t>
  </si>
  <si>
    <t>3.5.  melléklet a .../2018. (....) önkormányzati rendelethez</t>
  </si>
  <si>
    <t>4.1.  melléklet a ..../2018. (....) önkormányzati rendelethez</t>
  </si>
  <si>
    <t>2018. előirányzat</t>
  </si>
  <si>
    <t>2018. 
előirányzat</t>
  </si>
  <si>
    <t>2018. évi bevétel</t>
  </si>
  <si>
    <t>4.2. melléklet .../2018. (...)  önkormányzati rendelethez</t>
  </si>
  <si>
    <t>4.3. melléklet a .../2018. (....) önkormányzati rendelethez</t>
  </si>
  <si>
    <t>4.4. melléklet a .../2018. (....) önkormányzati rendelethez</t>
  </si>
  <si>
    <t>4.5. melléklet a .../2018. (....) önkormányzati rendelethez</t>
  </si>
  <si>
    <t>2018. évi eredeti Ei.</t>
  </si>
  <si>
    <t>5. melléklet a ……/2018.(…………) önkormányzati rendelethez</t>
  </si>
  <si>
    <t>2018. évi
mód. ei.</t>
  </si>
  <si>
    <t>2018.
telj</t>
  </si>
  <si>
    <t>2018. év utáni
szükséglet</t>
  </si>
  <si>
    <t>6. melléklet a ……/2018.(…………) önkormányzati rendelethez</t>
  </si>
  <si>
    <t>Polgármesteri illetmény támogatása</t>
  </si>
  <si>
    <t>Rászoruló gyermekek szünidei étkeztetésének támogatása</t>
  </si>
  <si>
    <t>Rákóczi utca felújítása</t>
  </si>
  <si>
    <t>VP6-7.2.1-7.4.1.2-16 Külterületi utak fejlesztése</t>
  </si>
  <si>
    <t>VP6-7.2.1-7.4.1.3-17 Helyi termékértékesítést szolgáló piacok infrastrukt. Fejleszt.</t>
  </si>
  <si>
    <t>Kulturális ágazati pótlék</t>
  </si>
  <si>
    <t>Összevont ágazati pótlék</t>
  </si>
  <si>
    <t>ASP rendszert használók céljuttatása</t>
  </si>
  <si>
    <t>Könyvtár érdekeltségnövelő támogatása</t>
  </si>
  <si>
    <t>Téli rezsiccsökkentés</t>
  </si>
  <si>
    <t>EFOP-1.5.3-16-2017-00060 Humán szolgálat</t>
  </si>
  <si>
    <t>EFOP-3.9.2-16-2017-00025 Konzorciumi tag</t>
  </si>
  <si>
    <t>Pótlékok</t>
  </si>
  <si>
    <t>Bírságok</t>
  </si>
  <si>
    <t>Országgyűlési választás</t>
  </si>
  <si>
    <t>Egyéb rendezvények</t>
  </si>
  <si>
    <t>EFOP-129 pályázat</t>
  </si>
  <si>
    <t>Rákóczi Ferenc utca  útburkolat felújítása</t>
  </si>
  <si>
    <t>Minibölcsőde kialakítása</t>
  </si>
  <si>
    <t>Pályázatok önerejére tartalék</t>
  </si>
  <si>
    <t>Lakhatási támogatás</t>
  </si>
  <si>
    <t>Rendkívüli települési támogatás - egyszeri segély</t>
  </si>
  <si>
    <t>Krízissegély</t>
  </si>
  <si>
    <t>Temetési segély</t>
  </si>
  <si>
    <t>Hulladékszállítási díjkedvezmény</t>
  </si>
  <si>
    <t>Tüzelőanyag természetbeni juttatása</t>
  </si>
  <si>
    <t>Hosszabb távú közfoglalkoztatás</t>
  </si>
  <si>
    <t>Útalap készítés Wesselényi és Irányi utca</t>
  </si>
  <si>
    <t>Település arculati kézikönyv</t>
  </si>
  <si>
    <r>
      <t>Szennyvízszippantás 100 Ft/m</t>
    </r>
    <r>
      <rPr>
        <vertAlign val="superscript"/>
        <sz val="10"/>
        <rFont val="Times New Roman"/>
        <family val="1"/>
        <charset val="238"/>
      </rPr>
      <t>3</t>
    </r>
  </si>
  <si>
    <t>Sportcsarnok, uszoda használati díja</t>
  </si>
  <si>
    <t>Dinnyefesztivál önkormányzati kiadásai</t>
  </si>
  <si>
    <t xml:space="preserve">Művelődési ház részére bevétel átadás + könyvtár pályázat </t>
  </si>
  <si>
    <t>VP6-7.2.1-7.4.1.2-16 Külterületi helyi utak  fejlesztése</t>
  </si>
  <si>
    <t>VP6-7.2.1-7.4.1.3-17 Helyi terméértékesítést szolgáló piacok infrastrukt fejleszt.</t>
  </si>
  <si>
    <t>TOP-5.1.2-15-BS1-2016-00008 Foglalkoztatási paktum</t>
  </si>
  <si>
    <t>EFOP-1.5.3-16-2017-00060 Humán szolgálat konzorciumi tag</t>
  </si>
  <si>
    <t>KEHOP-1.2.1 Pályázat</t>
  </si>
  <si>
    <t>Arany János utca felújítása</t>
  </si>
  <si>
    <t>Önkormányzat</t>
  </si>
  <si>
    <t>Helyi sajátosságokra épülő közfolglalkoztatás</t>
  </si>
  <si>
    <t>Lapvibrátor</t>
  </si>
  <si>
    <t>10 db Térkősablon</t>
  </si>
  <si>
    <t>Térkő roppantógép</t>
  </si>
  <si>
    <t>Digitális tolósúlyos mérleg 300 kg</t>
  </si>
  <si>
    <t>Kézikocsi</t>
  </si>
  <si>
    <t>Állvány tartozékaival</t>
  </si>
  <si>
    <t>Áramfejlesztő</t>
  </si>
  <si>
    <t>Mezőgazdaság</t>
  </si>
  <si>
    <t>150 mm -es fúrószár</t>
  </si>
  <si>
    <t>60 mm-es fúrószár</t>
  </si>
  <si>
    <t>500 W-os szivattyú</t>
  </si>
  <si>
    <t>Toldószár</t>
  </si>
  <si>
    <t>Gödörfúró</t>
  </si>
  <si>
    <t>Mezőgazdasági földutak karbantartása</t>
  </si>
  <si>
    <t>Kompresszor</t>
  </si>
  <si>
    <t>Startmunka összesen:</t>
  </si>
  <si>
    <t>TOP pályázatok</t>
  </si>
  <si>
    <t>VP6-7.2.1-7.4.1.2-16 Külterületi helyi utak fejlesztése</t>
  </si>
  <si>
    <t>VP6-7.2.1-7.4.1.3-17 Helyi termékértékesítést szolgáló piacok infrastukt. fejleszt.</t>
  </si>
  <si>
    <t>Pályázatok összesen:</t>
  </si>
  <si>
    <t>Háziorvosi körzetbe 1 db laptop és 1 db számítógép</t>
  </si>
  <si>
    <t>Batthyány utca 7 szám alatti ingatlan megvásárlása</t>
  </si>
  <si>
    <t>Képviselő testület kiadásai soron egy éven túl 
elhasználódó eszközök</t>
  </si>
  <si>
    <t>Könyvtár bútorbeszerzés önerő</t>
  </si>
  <si>
    <t>Önkormányzat összesen:</t>
  </si>
  <si>
    <t>Polgármesteri Hivatal</t>
  </si>
  <si>
    <t>1 éven túl elhasználódó eszközök</t>
  </si>
  <si>
    <t>Polgármesteri Hivatal összesen:</t>
  </si>
  <si>
    <t>Gondozási Központ</t>
  </si>
  <si>
    <t>Gondozási Központ összesen:</t>
  </si>
  <si>
    <t>Varázserdő Óvoda</t>
  </si>
  <si>
    <t>Óvoda összesen:</t>
  </si>
  <si>
    <t>Művelődési Ház és Könyvtár összesen:</t>
  </si>
  <si>
    <t>Gyermekorvos szolgálati lakás 2 db bejárati ajtó csere</t>
  </si>
  <si>
    <t>Rákóczi Ferenc utca útburkolat javítás (pályázat)</t>
  </si>
  <si>
    <t xml:space="preserve">Wesselényi utca útalap </t>
  </si>
  <si>
    <t>Irányi utca útalap</t>
  </si>
  <si>
    <t>Dózsa György utca 2. ingatlan villanyszerelés, fűtés és
 vizvezeték felújítás</t>
  </si>
  <si>
    <t>Arany János utca (Rákóczi és Deák között) felújítás önereje</t>
  </si>
  <si>
    <t>Ipari park</t>
  </si>
  <si>
    <t>Egyéb működési célú támogatások bevételei ÁHT-n belülről</t>
  </si>
  <si>
    <t>60 fő közmunkás</t>
  </si>
  <si>
    <t>7 db kártyaolvasó</t>
  </si>
  <si>
    <t>3 db Választásra függöny</t>
  </si>
  <si>
    <t>1 db Kávéfőző</t>
  </si>
  <si>
    <t>1 db Vezetékes telefon</t>
  </si>
  <si>
    <t>1 db Alumínium létra</t>
  </si>
  <si>
    <t>15 db függöny + 14 db sötétítő függöny</t>
  </si>
  <si>
    <t>Levegős szett</t>
  </si>
  <si>
    <t>Kályha</t>
  </si>
  <si>
    <t>Dr Dimák Sándor háziorvos részére 1 db notebook</t>
  </si>
  <si>
    <t>Dr Dimák Sándor háziorvos részére 1 db számítógép</t>
  </si>
  <si>
    <t>16 db jelzőtábla</t>
  </si>
  <si>
    <t>Felhasználás 
2017. XII. 31-ig</t>
  </si>
  <si>
    <t>1 fő</t>
  </si>
  <si>
    <t>5 fő</t>
  </si>
  <si>
    <t>31 fő közalkalmazott</t>
  </si>
  <si>
    <t>5 fő közalkalmazott</t>
  </si>
  <si>
    <t>2 fő külsős bizottsági tag</t>
  </si>
  <si>
    <t>2 fő</t>
  </si>
  <si>
    <t>Összesen:   145      fő</t>
  </si>
  <si>
    <t>Háromnegyedévi teljesítés</t>
  </si>
  <si>
    <t>I. Működési bevételek és kiadások mérlege 2018.</t>
  </si>
  <si>
    <t>Háromegyedévi teljesítés</t>
  </si>
  <si>
    <t>I .Felhalmozási célú bevételek és kiadások mérlege 2018.</t>
  </si>
  <si>
    <t>Medgyesegyháza Város Önkormányzat 2018 évi bevételeinek alakulása - Önkormányzat
Háromnegyedévi teljesítés
forintban</t>
  </si>
  <si>
    <t>Medgyesegyháza Város Önkormányzat 2018. évi bevételeinek alakulása - Medgyesegyházi Polgármesteri Hivatal
Háromnegyedévi teljesítés
forintban</t>
  </si>
  <si>
    <t>Medgyesegyháza Város Önkormányzat 2018. évi bevételeinek alakulása - Gondozási Központ 
Háromnegyedévi teljesítés
(forintban)</t>
  </si>
  <si>
    <t>Medgyesegyháza Város Önkormányzat 2018. évi bevételeinek alakulása - Varázserdő Óvoda
Háromnegyedévi teljesítés
forintban</t>
  </si>
  <si>
    <t>Medgyesegyháza Város Önkormányzat 2018. évi bevételeinek alakulása - Művelődési Ház és Könyvtár 
Háromnegyedévi teljesítés
(forintban)</t>
  </si>
  <si>
    <t>Az Önkormányzat 2018. évi kiadások kiemelt előirányzatonként
Háromnegyedévi teljesítés
forintban</t>
  </si>
  <si>
    <t>Medgyesegyházi Polgármesteri Hivatal 2018. évi kiadások kiemelt előirányzatonként
Háromnegyedévi teljesítés
forintban</t>
  </si>
  <si>
    <t>Gondozási Központ 2018. évi kiadások kiemelt előirányzatonként
Háromnegyedévi teljesítés
forintban</t>
  </si>
  <si>
    <t>Varázserdő Óvoda 2018. évi kiadások kiemelt előirányzatonként
Háromnegyedévi teljesítés
forintban</t>
  </si>
  <si>
    <t>Művelődési Ház és Könyvtár 2018. évi kiadások kiemelt előirányzatonként
Háromnegyedévi teljesítés
forintban</t>
  </si>
  <si>
    <t>Beruházási (felhalmozási) kiadások előírányzata beruházásonként 2018.
Háromnegyedévi teljesítés</t>
  </si>
  <si>
    <t>Felújítási kiadások előírányzata felújításonként 2018
Háromnegyedévi teljesítés</t>
  </si>
  <si>
    <t>Medgyesi napok futás</t>
  </si>
  <si>
    <t>TOP-5.3.1-16-BS1-2017-00006 Helyi identitás</t>
  </si>
  <si>
    <t>TOP-3.2.1-16 Önkormányzati épületek energetikai korszerűsítése</t>
  </si>
  <si>
    <t>Medgyesegyháza, Batthány u. 7. szám alatti ingatlan megvásárlása</t>
  </si>
  <si>
    <t>1 db Pendrive</t>
  </si>
  <si>
    <t>Traktor emelő krokodil</t>
  </si>
  <si>
    <t>1 db Villáskulcs készlet (24 db-os)</t>
  </si>
  <si>
    <t>Gallyazó létra</t>
  </si>
  <si>
    <t>1 db Akkumulátoros csavarbehajtó</t>
  </si>
  <si>
    <t>1 db Makita Fúrógép</t>
  </si>
  <si>
    <t>1 db Kávégép</t>
  </si>
  <si>
    <t>15,83 fő</t>
  </si>
  <si>
    <t>31,77 fő</t>
  </si>
  <si>
    <t>22,97 fő</t>
  </si>
  <si>
    <t>4,2 fő</t>
  </si>
  <si>
    <t>2018. július 1. napjától közmunkás</t>
  </si>
  <si>
    <t>3 fő</t>
  </si>
  <si>
    <t>163,0 fő</t>
  </si>
  <si>
    <t>Diákmunkaprogram, rehabos foglalkoztatás</t>
  </si>
  <si>
    <t>1 db Konyhai 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</si>
</sst>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vertAlign val="superscript"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0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5" fillId="0" borderId="6" xfId="0" applyFont="1" applyBorder="1"/>
    <xf numFmtId="0" fontId="6" fillId="0" borderId="9" xfId="0" applyFont="1" applyBorder="1"/>
    <xf numFmtId="0" fontId="5" fillId="0" borderId="6" xfId="0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49" fontId="6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/>
    <xf numFmtId="49" fontId="5" fillId="0" borderId="14" xfId="0" applyNumberFormat="1" applyFont="1" applyBorder="1" applyAlignment="1">
      <alignment horizontal="center"/>
    </xf>
    <xf numFmtId="0" fontId="5" fillId="0" borderId="12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5" applyFont="1" applyBorder="1"/>
    <xf numFmtId="0" fontId="8" fillId="0" borderId="1" xfId="5" applyFont="1" applyBorder="1" applyAlignment="1">
      <alignment horizontal="center"/>
    </xf>
    <xf numFmtId="0" fontId="7" fillId="0" borderId="0" xfId="5" applyFont="1"/>
    <xf numFmtId="0" fontId="9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3" fontId="18" fillId="2" borderId="1" xfId="5" applyNumberFormat="1" applyFont="1" applyFill="1" applyBorder="1" applyAlignment="1">
      <alignment wrapText="1"/>
    </xf>
    <xf numFmtId="0" fontId="19" fillId="0" borderId="1" xfId="5" applyFont="1" applyBorder="1" applyAlignment="1">
      <alignment vertical="center"/>
    </xf>
    <xf numFmtId="3" fontId="3" fillId="0" borderId="0" xfId="5" applyNumberFormat="1"/>
    <xf numFmtId="0" fontId="3" fillId="0" borderId="0" xfId="5"/>
    <xf numFmtId="0" fontId="8" fillId="0" borderId="1" xfId="5" applyFont="1" applyBorder="1" applyAlignment="1">
      <alignment horizontal="center" wrapText="1"/>
    </xf>
    <xf numFmtId="0" fontId="8" fillId="2" borderId="1" xfId="5" applyFont="1" applyFill="1" applyBorder="1" applyAlignment="1">
      <alignment horizontal="center"/>
    </xf>
    <xf numFmtId="0" fontId="19" fillId="2" borderId="1" xfId="5" applyFont="1" applyFill="1" applyBorder="1" applyAlignment="1">
      <alignment vertical="center"/>
    </xf>
    <xf numFmtId="0" fontId="3" fillId="2" borderId="0" xfId="5" applyFill="1"/>
    <xf numFmtId="0" fontId="3" fillId="0" borderId="1" xfId="5" applyBorder="1"/>
    <xf numFmtId="0" fontId="20" fillId="0" borderId="1" xfId="5" applyFont="1" applyFill="1" applyBorder="1" applyAlignment="1">
      <alignment vertical="center"/>
    </xf>
    <xf numFmtId="0" fontId="3" fillId="0" borderId="0" xfId="5" applyBorder="1"/>
    <xf numFmtId="0" fontId="9" fillId="2" borderId="1" xfId="5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/>
    </xf>
    <xf numFmtId="0" fontId="17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vertical="center"/>
    </xf>
    <xf numFmtId="0" fontId="20" fillId="2" borderId="1" xfId="5" applyFont="1" applyFill="1" applyBorder="1" applyAlignment="1">
      <alignment vertical="center"/>
    </xf>
    <xf numFmtId="0" fontId="22" fillId="2" borderId="1" xfId="5" applyFont="1" applyFill="1" applyBorder="1" applyAlignment="1">
      <alignment vertical="center"/>
    </xf>
    <xf numFmtId="0" fontId="17" fillId="2" borderId="1" xfId="5" applyFont="1" applyFill="1" applyBorder="1" applyAlignment="1">
      <alignment horizontal="center" vertical="center"/>
    </xf>
    <xf numFmtId="0" fontId="14" fillId="2" borderId="0" xfId="5" applyFont="1" applyFill="1"/>
    <xf numFmtId="0" fontId="3" fillId="2" borderId="0" xfId="5" applyFill="1" applyBorder="1"/>
    <xf numFmtId="0" fontId="23" fillId="2" borderId="1" xfId="5" applyFont="1" applyFill="1" applyBorder="1" applyAlignment="1">
      <alignment horizontal="center"/>
    </xf>
    <xf numFmtId="0" fontId="18" fillId="2" borderId="0" xfId="5" applyFont="1" applyFill="1"/>
    <xf numFmtId="0" fontId="25" fillId="2" borderId="1" xfId="5" applyFont="1" applyFill="1" applyBorder="1" applyAlignment="1">
      <alignment horizontal="center" wrapText="1"/>
    </xf>
    <xf numFmtId="0" fontId="26" fillId="2" borderId="1" xfId="5" applyFont="1" applyFill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/>
    </xf>
    <xf numFmtId="0" fontId="12" fillId="0" borderId="1" xfId="5" applyFont="1" applyFill="1" applyBorder="1" applyAlignment="1">
      <alignment vertical="center"/>
    </xf>
    <xf numFmtId="3" fontId="27" fillId="0" borderId="1" xfId="5" applyNumberFormat="1" applyFont="1" applyFill="1" applyBorder="1" applyAlignment="1">
      <alignment horizontal="right" vertical="center" wrapText="1"/>
    </xf>
    <xf numFmtId="0" fontId="18" fillId="0" borderId="0" xfId="5" applyFont="1" applyFill="1"/>
    <xf numFmtId="0" fontId="18" fillId="2" borderId="1" xfId="5" applyFont="1" applyFill="1" applyBorder="1"/>
    <xf numFmtId="0" fontId="18" fillId="2" borderId="1" xfId="5" applyFont="1" applyFill="1" applyBorder="1" applyAlignment="1">
      <alignment vertical="center"/>
    </xf>
    <xf numFmtId="0" fontId="9" fillId="2" borderId="1" xfId="5" applyFont="1" applyFill="1" applyBorder="1" applyAlignment="1">
      <alignment horizontal="center" wrapText="1"/>
    </xf>
    <xf numFmtId="3" fontId="18" fillId="2" borderId="0" xfId="5" applyNumberFormat="1" applyFont="1" applyFill="1"/>
    <xf numFmtId="0" fontId="23" fillId="2" borderId="1" xfId="5" applyFont="1" applyFill="1" applyBorder="1"/>
    <xf numFmtId="0" fontId="12" fillId="2" borderId="1" xfId="5" applyFont="1" applyFill="1" applyBorder="1" applyAlignment="1">
      <alignment vertical="center"/>
    </xf>
    <xf numFmtId="3" fontId="12" fillId="2" borderId="1" xfId="5" applyNumberFormat="1" applyFont="1" applyFill="1" applyBorder="1" applyAlignment="1">
      <alignment horizontal="right" vertical="center"/>
    </xf>
    <xf numFmtId="3" fontId="18" fillId="2" borderId="1" xfId="5" applyNumberFormat="1" applyFont="1" applyFill="1" applyBorder="1"/>
    <xf numFmtId="3" fontId="27" fillId="2" borderId="1" xfId="5" applyNumberFormat="1" applyFont="1" applyFill="1" applyBorder="1"/>
    <xf numFmtId="0" fontId="23" fillId="2" borderId="0" xfId="5" applyFont="1" applyFill="1"/>
    <xf numFmtId="0" fontId="23" fillId="2" borderId="1" xfId="5" applyFont="1" applyFill="1" applyBorder="1" applyAlignment="1">
      <alignment vertical="center"/>
    </xf>
    <xf numFmtId="0" fontId="18" fillId="2" borderId="1" xfId="5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right" vertical="center"/>
    </xf>
    <xf numFmtId="0" fontId="27" fillId="2" borderId="1" xfId="5" applyFont="1" applyFill="1" applyBorder="1" applyAlignment="1">
      <alignment horizontal="right" vertical="center"/>
    </xf>
    <xf numFmtId="0" fontId="18" fillId="2" borderId="1" xfId="5" applyFont="1" applyFill="1" applyBorder="1" applyAlignment="1">
      <alignment horizontal="right" vertical="center"/>
    </xf>
    <xf numFmtId="0" fontId="7" fillId="0" borderId="0" xfId="5" applyFont="1" applyAlignment="1">
      <alignment horizontal="right"/>
    </xf>
    <xf numFmtId="0" fontId="18" fillId="0" borderId="1" xfId="5" applyFont="1" applyFill="1" applyBorder="1" applyAlignment="1">
      <alignment horizontal="center"/>
    </xf>
    <xf numFmtId="0" fontId="24" fillId="0" borderId="0" xfId="5" applyFont="1" applyFill="1" applyBorder="1" applyAlignment="1">
      <alignment horizontal="center" vertical="center"/>
    </xf>
    <xf numFmtId="0" fontId="25" fillId="0" borderId="1" xfId="5" applyFont="1" applyFill="1" applyBorder="1" applyAlignment="1">
      <alignment horizontal="center" wrapText="1"/>
    </xf>
    <xf numFmtId="0" fontId="26" fillId="0" borderId="1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 wrapText="1"/>
    </xf>
    <xf numFmtId="0" fontId="27" fillId="0" borderId="0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/>
    <xf numFmtId="3" fontId="27" fillId="0" borderId="0" xfId="5" applyNumberFormat="1" applyFont="1" applyFill="1" applyBorder="1" applyAlignment="1">
      <alignment horizontal="right" vertical="center" wrapText="1"/>
    </xf>
    <xf numFmtId="0" fontId="25" fillId="0" borderId="1" xfId="5" applyFont="1" applyFill="1" applyBorder="1" applyAlignment="1">
      <alignment horizontal="center"/>
    </xf>
    <xf numFmtId="0" fontId="27" fillId="0" borderId="1" xfId="5" applyFont="1" applyFill="1" applyBorder="1" applyAlignment="1">
      <alignment vertical="center"/>
    </xf>
    <xf numFmtId="0" fontId="27" fillId="0" borderId="0" xfId="5" applyFont="1" applyFill="1"/>
    <xf numFmtId="0" fontId="18" fillId="0" borderId="1" xfId="5" applyFont="1" applyFill="1" applyBorder="1" applyAlignment="1">
      <alignment vertical="center"/>
    </xf>
    <xf numFmtId="3" fontId="18" fillId="0" borderId="0" xfId="5" applyNumberFormat="1" applyFont="1" applyFill="1" applyBorder="1" applyAlignment="1">
      <alignment horizontal="right" vertical="center" wrapText="1"/>
    </xf>
    <xf numFmtId="3" fontId="28" fillId="0" borderId="0" xfId="5" applyNumberFormat="1" applyFont="1" applyFill="1" applyBorder="1" applyAlignment="1">
      <alignment vertical="center"/>
    </xf>
    <xf numFmtId="3" fontId="18" fillId="0" borderId="0" xfId="5" applyNumberFormat="1" applyFont="1" applyFill="1" applyBorder="1"/>
    <xf numFmtId="0" fontId="27" fillId="0" borderId="1" xfId="5" applyFont="1" applyFill="1" applyBorder="1"/>
    <xf numFmtId="3" fontId="18" fillId="0" borderId="0" xfId="5" applyNumberFormat="1" applyFont="1" applyFill="1"/>
    <xf numFmtId="0" fontId="6" fillId="0" borderId="0" xfId="0" applyFont="1" applyAlignment="1">
      <alignment horizontal="center"/>
    </xf>
    <xf numFmtId="3" fontId="6" fillId="0" borderId="4" xfId="0" applyNumberFormat="1" applyFont="1" applyBorder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3" fontId="5" fillId="0" borderId="4" xfId="0" applyNumberFormat="1" applyFont="1" applyBorder="1"/>
    <xf numFmtId="0" fontId="5" fillId="0" borderId="4" xfId="0" applyFont="1" applyBorder="1"/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3" fontId="27" fillId="0" borderId="0" xfId="5" applyNumberFormat="1" applyFont="1" applyFill="1" applyBorder="1"/>
    <xf numFmtId="3" fontId="6" fillId="0" borderId="0" xfId="0" applyNumberFormat="1" applyFont="1"/>
    <xf numFmtId="3" fontId="5" fillId="0" borderId="6" xfId="0" applyNumberFormat="1" applyFont="1" applyBorder="1" applyAlignment="1">
      <alignment horizontal="center"/>
    </xf>
    <xf numFmtId="165" fontId="12" fillId="0" borderId="1" xfId="2" applyNumberFormat="1" applyFont="1" applyFill="1" applyBorder="1" applyAlignment="1">
      <alignment horizontal="right" vertical="center"/>
    </xf>
    <xf numFmtId="165" fontId="12" fillId="5" borderId="1" xfId="2" applyNumberFormat="1" applyFont="1" applyFill="1" applyBorder="1" applyAlignment="1">
      <alignment horizontal="right" vertical="center"/>
    </xf>
    <xf numFmtId="165" fontId="12" fillId="0" borderId="1" xfId="5" applyNumberFormat="1" applyFont="1" applyFill="1" applyBorder="1" applyAlignment="1">
      <alignment horizontal="right" vertical="center" wrapText="1"/>
    </xf>
    <xf numFmtId="165" fontId="27" fillId="0" borderId="1" xfId="5" applyNumberFormat="1" applyFont="1" applyFill="1" applyBorder="1" applyAlignment="1">
      <alignment horizontal="right" vertical="center"/>
    </xf>
    <xf numFmtId="165" fontId="27" fillId="0" borderId="1" xfId="5" applyNumberFormat="1" applyFont="1" applyFill="1" applyBorder="1" applyAlignment="1">
      <alignment horizontal="right" vertical="center" wrapText="1"/>
    </xf>
    <xf numFmtId="165" fontId="12" fillId="0" borderId="1" xfId="5" applyNumberFormat="1" applyFont="1" applyFill="1" applyBorder="1" applyAlignment="1">
      <alignment vertical="center"/>
    </xf>
    <xf numFmtId="165" fontId="12" fillId="0" borderId="1" xfId="5" applyNumberFormat="1" applyFont="1" applyFill="1" applyBorder="1" applyAlignment="1">
      <alignment horizontal="right" vertical="center"/>
    </xf>
    <xf numFmtId="165" fontId="12" fillId="0" borderId="1" xfId="6" applyNumberFormat="1" applyFont="1" applyFill="1" applyBorder="1" applyAlignment="1">
      <alignment horizontal="right" vertical="center"/>
    </xf>
    <xf numFmtId="165" fontId="18" fillId="0" borderId="1" xfId="5" applyNumberFormat="1" applyFont="1" applyFill="1" applyBorder="1"/>
    <xf numFmtId="165" fontId="12" fillId="0" borderId="1" xfId="6" applyNumberFormat="1" applyFont="1" applyFill="1" applyBorder="1" applyAlignment="1">
      <alignment vertical="center"/>
    </xf>
    <xf numFmtId="165" fontId="28" fillId="0" borderId="1" xfId="5" applyNumberFormat="1" applyFont="1" applyFill="1" applyBorder="1" applyAlignment="1">
      <alignment vertical="center"/>
    </xf>
    <xf numFmtId="165" fontId="18" fillId="0" borderId="1" xfId="5" applyNumberFormat="1" applyFont="1" applyFill="1" applyBorder="1" applyAlignment="1">
      <alignment horizontal="right" vertical="center" wrapText="1"/>
    </xf>
    <xf numFmtId="165" fontId="27" fillId="0" borderId="1" xfId="5" applyNumberFormat="1" applyFont="1" applyFill="1" applyBorder="1"/>
    <xf numFmtId="165" fontId="12" fillId="2" borderId="1" xfId="5" applyNumberFormat="1" applyFont="1" applyFill="1" applyBorder="1" applyAlignment="1">
      <alignment horizontal="right" vertical="center"/>
    </xf>
    <xf numFmtId="165" fontId="11" fillId="2" borderId="1" xfId="5" applyNumberFormat="1" applyFont="1" applyFill="1" applyBorder="1" applyAlignment="1">
      <alignment horizontal="right" vertical="center"/>
    </xf>
    <xf numFmtId="165" fontId="27" fillId="2" borderId="1" xfId="5" applyNumberFormat="1" applyFont="1" applyFill="1" applyBorder="1" applyAlignment="1">
      <alignment horizontal="right" vertical="center"/>
    </xf>
    <xf numFmtId="165" fontId="18" fillId="2" borderId="1" xfId="5" applyNumberFormat="1" applyFont="1" applyFill="1" applyBorder="1"/>
    <xf numFmtId="165" fontId="11" fillId="2" borderId="1" xfId="5" applyNumberFormat="1" applyFont="1" applyFill="1" applyBorder="1" applyAlignment="1">
      <alignment vertical="center"/>
    </xf>
    <xf numFmtId="165" fontId="19" fillId="2" borderId="1" xfId="5" applyNumberFormat="1" applyFont="1" applyFill="1" applyBorder="1" applyAlignment="1">
      <alignment vertical="center"/>
    </xf>
    <xf numFmtId="165" fontId="19" fillId="2" borderId="1" xfId="5" applyNumberFormat="1" applyFont="1" applyFill="1" applyBorder="1" applyAlignment="1">
      <alignment horizontal="right" vertical="center"/>
    </xf>
    <xf numFmtId="165" fontId="17" fillId="2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Border="1" applyAlignment="1">
      <alignment vertical="center"/>
    </xf>
    <xf numFmtId="165" fontId="19" fillId="0" borderId="1" xfId="5" applyNumberFormat="1" applyFont="1" applyBorder="1" applyAlignment="1">
      <alignment vertical="center"/>
    </xf>
    <xf numFmtId="165" fontId="19" fillId="0" borderId="1" xfId="5" applyNumberFormat="1" applyFont="1" applyBorder="1" applyAlignment="1">
      <alignment horizontal="right" vertical="center"/>
    </xf>
    <xf numFmtId="165" fontId="17" fillId="0" borderId="1" xfId="5" applyNumberFormat="1" applyFont="1" applyBorder="1" applyAlignment="1">
      <alignment horizontal="right" vertical="center"/>
    </xf>
    <xf numFmtId="165" fontId="7" fillId="0" borderId="1" xfId="5" applyNumberFormat="1" applyFont="1" applyBorder="1"/>
    <xf numFmtId="0" fontId="12" fillId="0" borderId="1" xfId="5" applyFont="1" applyFill="1" applyBorder="1" applyAlignment="1">
      <alignment vertical="center" wrapText="1"/>
    </xf>
    <xf numFmtId="165" fontId="7" fillId="2" borderId="1" xfId="5" applyNumberFormat="1" applyFont="1" applyFill="1" applyBorder="1" applyAlignment="1">
      <alignment vertical="center"/>
    </xf>
    <xf numFmtId="165" fontId="7" fillId="2" borderId="1" xfId="5" applyNumberFormat="1" applyFont="1" applyFill="1" applyBorder="1"/>
    <xf numFmtId="165" fontId="18" fillId="0" borderId="1" xfId="5" applyNumberFormat="1" applyFont="1" applyFill="1" applyBorder="1" applyAlignment="1">
      <alignment vertical="center"/>
    </xf>
    <xf numFmtId="3" fontId="27" fillId="0" borderId="1" xfId="5" applyNumberFormat="1" applyFont="1" applyFill="1" applyBorder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5" fontId="6" fillId="0" borderId="0" xfId="0" applyNumberFormat="1" applyFont="1"/>
    <xf numFmtId="165" fontId="5" fillId="0" borderId="6" xfId="0" applyNumberFormat="1" applyFont="1" applyBorder="1"/>
    <xf numFmtId="165" fontId="5" fillId="0" borderId="12" xfId="0" applyNumberFormat="1" applyFont="1" applyBorder="1"/>
    <xf numFmtId="165" fontId="5" fillId="0" borderId="1" xfId="0" applyNumberFormat="1" applyFont="1" applyBorder="1"/>
    <xf numFmtId="165" fontId="6" fillId="0" borderId="1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0" fontId="29" fillId="0" borderId="1" xfId="5" applyFont="1" applyBorder="1" applyAlignment="1">
      <alignment horizontal="center"/>
    </xf>
    <xf numFmtId="0" fontId="30" fillId="0" borderId="1" xfId="5" applyFont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/>
    </xf>
    <xf numFmtId="0" fontId="32" fillId="0" borderId="0" xfId="5" applyFont="1"/>
    <xf numFmtId="0" fontId="18" fillId="0" borderId="17" xfId="5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27" fillId="0" borderId="0" xfId="5" applyNumberFormat="1" applyFont="1" applyFill="1" applyBorder="1" applyAlignment="1">
      <alignment horizontal="right" vertical="center"/>
    </xf>
    <xf numFmtId="0" fontId="27" fillId="0" borderId="1" xfId="5" applyFont="1" applyFill="1" applyBorder="1" applyAlignment="1">
      <alignment horizontal="center"/>
    </xf>
    <xf numFmtId="0" fontId="33" fillId="0" borderId="1" xfId="5" applyFont="1" applyFill="1" applyBorder="1" applyAlignment="1">
      <alignment horizontal="center" vertical="center"/>
    </xf>
    <xf numFmtId="165" fontId="18" fillId="0" borderId="1" xfId="5" applyNumberFormat="1" applyFont="1" applyFill="1" applyBorder="1" applyAlignment="1">
      <alignment horizontal="right" vertical="center"/>
    </xf>
    <xf numFmtId="3" fontId="18" fillId="0" borderId="0" xfId="5" applyNumberFormat="1" applyFont="1" applyFill="1" applyBorder="1" applyAlignment="1">
      <alignment horizontal="right" vertical="center"/>
    </xf>
    <xf numFmtId="1" fontId="18" fillId="0" borderId="1" xfId="5" applyNumberFormat="1" applyFont="1" applyFill="1" applyBorder="1" applyAlignment="1">
      <alignment horizontal="right" vertical="center"/>
    </xf>
    <xf numFmtId="0" fontId="33" fillId="0" borderId="1" xfId="5" applyFont="1" applyFill="1" applyBorder="1" applyAlignment="1">
      <alignment horizontal="left" vertical="center"/>
    </xf>
    <xf numFmtId="0" fontId="26" fillId="0" borderId="1" xfId="5" applyFont="1" applyFill="1" applyBorder="1" applyAlignment="1">
      <alignment horizontal="left" vertical="center"/>
    </xf>
    <xf numFmtId="1" fontId="27" fillId="0" borderId="1" xfId="5" applyNumberFormat="1" applyFont="1" applyFill="1" applyBorder="1" applyAlignment="1">
      <alignment horizontal="right" vertical="center"/>
    </xf>
    <xf numFmtId="0" fontId="5" fillId="0" borderId="18" xfId="0" applyFont="1" applyBorder="1"/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/>
    <xf numFmtId="0" fontId="10" fillId="0" borderId="0" xfId="0" applyFont="1"/>
    <xf numFmtId="0" fontId="10" fillId="2" borderId="1" xfId="5" applyFont="1" applyFill="1" applyBorder="1" applyAlignment="1">
      <alignment horizontal="center"/>
    </xf>
    <xf numFmtId="0" fontId="27" fillId="0" borderId="4" xfId="5" applyFont="1" applyFill="1" applyBorder="1" applyAlignment="1">
      <alignment horizontal="center" vertical="center" wrapText="1"/>
    </xf>
    <xf numFmtId="3" fontId="3" fillId="2" borderId="16" xfId="5" applyNumberFormat="1" applyFill="1" applyBorder="1"/>
    <xf numFmtId="3" fontId="3" fillId="0" borderId="16" xfId="5" applyNumberFormat="1" applyBorder="1"/>
    <xf numFmtId="0" fontId="18" fillId="2" borderId="16" xfId="5" applyFont="1" applyFill="1" applyBorder="1"/>
    <xf numFmtId="0" fontId="27" fillId="2" borderId="0" xfId="5" applyFont="1" applyFill="1"/>
    <xf numFmtId="165" fontId="27" fillId="2" borderId="1" xfId="5" applyNumberFormat="1" applyFont="1" applyFill="1" applyBorder="1"/>
    <xf numFmtId="0" fontId="6" fillId="0" borderId="0" xfId="0" applyFont="1" applyAlignment="1">
      <alignment horizontal="center" vertical="center"/>
    </xf>
    <xf numFmtId="165" fontId="18" fillId="0" borderId="0" xfId="5" applyNumberFormat="1" applyFont="1" applyFill="1"/>
    <xf numFmtId="3" fontId="5" fillId="0" borderId="18" xfId="0" applyNumberFormat="1" applyFont="1" applyBorder="1" applyAlignment="1">
      <alignment horizontal="center" vertical="center"/>
    </xf>
    <xf numFmtId="165" fontId="5" fillId="0" borderId="18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21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6" fillId="0" borderId="20" xfId="0" applyNumberFormat="1" applyFont="1" applyBorder="1"/>
    <xf numFmtId="165" fontId="5" fillId="0" borderId="1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5" fillId="0" borderId="14" xfId="0" applyNumberFormat="1" applyFont="1" applyBorder="1"/>
    <xf numFmtId="3" fontId="5" fillId="0" borderId="18" xfId="0" applyNumberFormat="1" applyFont="1" applyBorder="1" applyAlignment="1">
      <alignment horizontal="center"/>
    </xf>
    <xf numFmtId="0" fontId="18" fillId="2" borderId="16" xfId="5" applyFont="1" applyFill="1" applyBorder="1" applyAlignment="1">
      <alignment wrapText="1"/>
    </xf>
    <xf numFmtId="0" fontId="33" fillId="2" borderId="1" xfId="5" applyFont="1" applyFill="1" applyBorder="1" applyAlignment="1">
      <alignment horizontal="center" vertical="center"/>
    </xf>
    <xf numFmtId="0" fontId="14" fillId="0" borderId="0" xfId="5" applyFont="1"/>
    <xf numFmtId="165" fontId="14" fillId="2" borderId="1" xfId="5" applyNumberFormat="1" applyFont="1" applyFill="1" applyBorder="1"/>
    <xf numFmtId="0" fontId="20" fillId="0" borderId="1" xfId="5" applyFont="1" applyBorder="1" applyAlignment="1">
      <alignment horizontal="center" vertical="center" wrapText="1"/>
    </xf>
    <xf numFmtId="165" fontId="20" fillId="2" borderId="1" xfId="5" applyNumberFormat="1" applyFont="1" applyFill="1" applyBorder="1" applyAlignment="1">
      <alignment vertical="center"/>
    </xf>
    <xf numFmtId="165" fontId="20" fillId="2" borderId="1" xfId="5" applyNumberFormat="1" applyFont="1" applyFill="1" applyBorder="1" applyAlignment="1">
      <alignment horizontal="right" vertical="center"/>
    </xf>
    <xf numFmtId="165" fontId="10" fillId="2" borderId="1" xfId="5" applyNumberFormat="1" applyFont="1" applyFill="1" applyBorder="1" applyAlignment="1">
      <alignment vertical="center"/>
    </xf>
    <xf numFmtId="165" fontId="10" fillId="2" borderId="1" xfId="6" applyNumberFormat="1" applyFont="1" applyFill="1" applyBorder="1" applyAlignment="1">
      <alignment horizontal="right" vertical="center"/>
    </xf>
    <xf numFmtId="0" fontId="34" fillId="0" borderId="1" xfId="5" applyFont="1" applyFill="1" applyBorder="1" applyAlignment="1">
      <alignment horizontal="center"/>
    </xf>
    <xf numFmtId="0" fontId="28" fillId="0" borderId="1" xfId="5" applyFont="1" applyFill="1" applyBorder="1" applyAlignment="1">
      <alignment horizontal="center" vertical="center"/>
    </xf>
    <xf numFmtId="165" fontId="28" fillId="0" borderId="1" xfId="5" applyNumberFormat="1" applyFont="1" applyFill="1" applyBorder="1" applyAlignment="1">
      <alignment horizontal="right" vertical="center"/>
    </xf>
    <xf numFmtId="3" fontId="28" fillId="0" borderId="1" xfId="5" applyNumberFormat="1" applyFont="1" applyFill="1" applyBorder="1" applyAlignment="1">
      <alignment horizontal="right" vertical="center"/>
    </xf>
    <xf numFmtId="0" fontId="12" fillId="0" borderId="0" xfId="5" applyFont="1" applyFill="1"/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5" fillId="0" borderId="4" xfId="0" applyNumberFormat="1" applyFont="1" applyFill="1" applyBorder="1"/>
    <xf numFmtId="165" fontId="6" fillId="0" borderId="1" xfId="0" applyNumberFormat="1" applyFont="1" applyFill="1" applyBorder="1"/>
    <xf numFmtId="165" fontId="5" fillId="0" borderId="1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27" fillId="2" borderId="1" xfId="5" applyFont="1" applyFill="1" applyBorder="1" applyAlignment="1">
      <alignment horizontal="center" vertical="center"/>
    </xf>
    <xf numFmtId="0" fontId="27" fillId="2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/>
    </xf>
    <xf numFmtId="0" fontId="35" fillId="0" borderId="1" xfId="5" applyFont="1" applyBorder="1" applyAlignment="1">
      <alignment horizontal="center" vertical="center"/>
    </xf>
    <xf numFmtId="0" fontId="1" fillId="0" borderId="0" xfId="5" applyFont="1"/>
    <xf numFmtId="0" fontId="7" fillId="0" borderId="1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18" fillId="0" borderId="4" xfId="5" applyFont="1" applyFill="1" applyBorder="1" applyAlignment="1">
      <alignment horizontal="center" vertical="center" wrapText="1"/>
    </xf>
    <xf numFmtId="0" fontId="26" fillId="2" borderId="4" xfId="5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165" fontId="6" fillId="0" borderId="26" xfId="0" applyNumberFormat="1" applyFont="1" applyBorder="1"/>
    <xf numFmtId="0" fontId="6" fillId="0" borderId="16" xfId="0" applyFont="1" applyBorder="1"/>
    <xf numFmtId="165" fontId="5" fillId="0" borderId="27" xfId="0" applyNumberFormat="1" applyFont="1" applyBorder="1"/>
    <xf numFmtId="165" fontId="6" fillId="0" borderId="28" xfId="0" applyNumberFormat="1" applyFont="1" applyBorder="1"/>
    <xf numFmtId="0" fontId="6" fillId="0" borderId="15" xfId="0" applyFont="1" applyBorder="1"/>
    <xf numFmtId="0" fontId="6" fillId="0" borderId="21" xfId="0" applyFont="1" applyBorder="1"/>
    <xf numFmtId="0" fontId="5" fillId="0" borderId="14" xfId="0" applyFont="1" applyBorder="1"/>
    <xf numFmtId="0" fontId="5" fillId="0" borderId="29" xfId="0" applyFont="1" applyBorder="1"/>
    <xf numFmtId="0" fontId="5" fillId="0" borderId="14" xfId="0" applyFont="1" applyBorder="1" applyAlignment="1">
      <alignment horizontal="center" vertical="center" wrapText="1"/>
    </xf>
    <xf numFmtId="165" fontId="6" fillId="0" borderId="24" xfId="0" applyNumberFormat="1" applyFont="1" applyBorder="1"/>
    <xf numFmtId="165" fontId="6" fillId="0" borderId="14" xfId="0" applyNumberFormat="1" applyFont="1" applyBorder="1"/>
    <xf numFmtId="0" fontId="10" fillId="0" borderId="1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5" fontId="5" fillId="0" borderId="14" xfId="0" applyNumberFormat="1" applyFont="1" applyFill="1" applyBorder="1"/>
    <xf numFmtId="165" fontId="6" fillId="0" borderId="16" xfId="0" applyNumberFormat="1" applyFont="1" applyFill="1" applyBorder="1"/>
    <xf numFmtId="165" fontId="6" fillId="0" borderId="15" xfId="0" applyNumberFormat="1" applyFont="1" applyFill="1" applyBorder="1"/>
    <xf numFmtId="165" fontId="6" fillId="0" borderId="26" xfId="0" applyNumberFormat="1" applyFont="1" applyFill="1" applyBorder="1"/>
    <xf numFmtId="165" fontId="6" fillId="0" borderId="14" xfId="0" applyNumberFormat="1" applyFont="1" applyFill="1" applyBorder="1"/>
    <xf numFmtId="165" fontId="6" fillId="0" borderId="21" xfId="0" applyNumberFormat="1" applyFont="1" applyFill="1" applyBorder="1"/>
    <xf numFmtId="0" fontId="5" fillId="0" borderId="14" xfId="0" applyFont="1" applyBorder="1" applyAlignment="1">
      <alignment horizontal="center"/>
    </xf>
    <xf numFmtId="10" fontId="10" fillId="0" borderId="1" xfId="5" applyNumberFormat="1" applyFont="1" applyBorder="1"/>
    <xf numFmtId="0" fontId="23" fillId="2" borderId="0" xfId="5" applyFont="1" applyFill="1" applyAlignment="1">
      <alignment horizontal="center"/>
    </xf>
    <xf numFmtId="0" fontId="23" fillId="2" borderId="1" xfId="5" applyFont="1" applyFill="1" applyBorder="1" applyAlignment="1">
      <alignment horizontal="center" wrapText="1"/>
    </xf>
    <xf numFmtId="165" fontId="18" fillId="2" borderId="1" xfId="5" applyNumberFormat="1" applyFont="1" applyFill="1" applyBorder="1" applyAlignment="1">
      <alignment vertical="center"/>
    </xf>
    <xf numFmtId="165" fontId="12" fillId="2" borderId="1" xfId="5" applyNumberFormat="1" applyFont="1" applyFill="1" applyBorder="1" applyAlignment="1">
      <alignment vertical="center"/>
    </xf>
    <xf numFmtId="164" fontId="27" fillId="2" borderId="1" xfId="5" applyNumberFormat="1" applyFont="1" applyFill="1" applyBorder="1"/>
    <xf numFmtId="10" fontId="18" fillId="2" borderId="1" xfId="5" applyNumberFormat="1" applyFont="1" applyFill="1" applyBorder="1"/>
    <xf numFmtId="10" fontId="27" fillId="2" borderId="1" xfId="5" applyNumberFormat="1" applyFont="1" applyFill="1" applyBorder="1"/>
    <xf numFmtId="10" fontId="3" fillId="2" borderId="1" xfId="5" applyNumberFormat="1" applyFill="1" applyBorder="1"/>
    <xf numFmtId="0" fontId="18" fillId="0" borderId="17" xfId="5" applyFont="1" applyFill="1" applyBorder="1" applyAlignment="1">
      <alignment horizontal="center"/>
    </xf>
    <xf numFmtId="0" fontId="18" fillId="2" borderId="4" xfId="5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vertical="center" wrapText="1"/>
    </xf>
    <xf numFmtId="10" fontId="36" fillId="2" borderId="1" xfId="5" applyNumberFormat="1" applyFont="1" applyFill="1" applyBorder="1"/>
    <xf numFmtId="10" fontId="14" fillId="2" borderId="1" xfId="5" applyNumberFormat="1" applyFont="1" applyFill="1" applyBorder="1"/>
    <xf numFmtId="0" fontId="27" fillId="2" borderId="1" xfId="5" applyFont="1" applyFill="1" applyBorder="1" applyAlignment="1">
      <alignment horizontal="center" vertical="center" wrapText="1"/>
    </xf>
    <xf numFmtId="1" fontId="18" fillId="0" borderId="0" xfId="1" applyNumberFormat="1" applyFont="1" applyFill="1"/>
    <xf numFmtId="0" fontId="18" fillId="0" borderId="0" xfId="1" applyFont="1" applyFill="1"/>
    <xf numFmtId="165" fontId="18" fillId="0" borderId="0" xfId="1" applyNumberFormat="1" applyFont="1" applyFill="1"/>
    <xf numFmtId="0" fontId="23" fillId="0" borderId="1" xfId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/>
    </xf>
    <xf numFmtId="165" fontId="27" fillId="0" borderId="1" xfId="1" applyNumberFormat="1" applyFont="1" applyFill="1" applyBorder="1" applyAlignment="1">
      <alignment horizontal="center" vertical="center" wrapText="1"/>
    </xf>
    <xf numFmtId="165" fontId="27" fillId="0" borderId="4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/>
    <xf numFmtId="0" fontId="27" fillId="0" borderId="0" xfId="1" applyFont="1" applyFill="1"/>
    <xf numFmtId="0" fontId="12" fillId="0" borderId="1" xfId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vertical="center"/>
    </xf>
    <xf numFmtId="165" fontId="27" fillId="0" borderId="1" xfId="1" applyNumberFormat="1" applyFont="1" applyFill="1" applyBorder="1" applyAlignment="1">
      <alignment horizontal="right" vertical="center"/>
    </xf>
    <xf numFmtId="0" fontId="18" fillId="0" borderId="1" xfId="1" applyFont="1" applyFill="1" applyBorder="1"/>
    <xf numFmtId="0" fontId="18" fillId="0" borderId="0" xfId="1" applyFont="1" applyFill="1" applyBorder="1"/>
    <xf numFmtId="165" fontId="12" fillId="3" borderId="1" xfId="2" applyNumberFormat="1" applyFont="1" applyFill="1" applyBorder="1" applyAlignment="1">
      <alignment horizontal="right" vertical="center"/>
    </xf>
    <xf numFmtId="165" fontId="12" fillId="4" borderId="1" xfId="2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vertical="center" wrapText="1"/>
    </xf>
    <xf numFmtId="165" fontId="12" fillId="6" borderId="1" xfId="2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center"/>
    </xf>
    <xf numFmtId="165" fontId="18" fillId="0" borderId="1" xfId="1" applyNumberFormat="1" applyFont="1" applyFill="1" applyBorder="1"/>
    <xf numFmtId="0" fontId="27" fillId="0" borderId="1" xfId="1" applyFont="1" applyFill="1" applyBorder="1" applyAlignment="1">
      <alignment vertical="center"/>
    </xf>
    <xf numFmtId="165" fontId="28" fillId="0" borderId="1" xfId="1" applyNumberFormat="1" applyFont="1" applyFill="1" applyBorder="1" applyAlignment="1">
      <alignment vertical="center"/>
    </xf>
    <xf numFmtId="3" fontId="27" fillId="0" borderId="1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165" fontId="18" fillId="0" borderId="1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165" fontId="28" fillId="0" borderId="9" xfId="1" applyNumberFormat="1" applyFont="1" applyFill="1" applyBorder="1" applyAlignment="1">
      <alignment vertical="center"/>
    </xf>
    <xf numFmtId="3" fontId="28" fillId="0" borderId="0" xfId="1" applyNumberFormat="1" applyFont="1" applyFill="1" applyBorder="1" applyAlignment="1">
      <alignment vertical="center"/>
    </xf>
    <xf numFmtId="3" fontId="28" fillId="0" borderId="1" xfId="1" applyNumberFormat="1" applyFont="1" applyFill="1" applyBorder="1" applyAlignment="1">
      <alignment vertical="center"/>
    </xf>
    <xf numFmtId="0" fontId="27" fillId="0" borderId="1" xfId="1" applyFont="1" applyFill="1" applyBorder="1"/>
    <xf numFmtId="165" fontId="27" fillId="0" borderId="1" xfId="1" applyNumberFormat="1" applyFont="1" applyFill="1" applyBorder="1"/>
    <xf numFmtId="0" fontId="27" fillId="2" borderId="1" xfId="5" applyFont="1" applyFill="1" applyBorder="1"/>
    <xf numFmtId="10" fontId="27" fillId="0" borderId="1" xfId="1" applyNumberFormat="1" applyFont="1" applyFill="1" applyBorder="1" applyAlignment="1">
      <alignment horizontal="center" vertical="center" wrapText="1"/>
    </xf>
    <xf numFmtId="10" fontId="18" fillId="0" borderId="1" xfId="1" applyNumberFormat="1" applyFont="1" applyFill="1" applyBorder="1"/>
    <xf numFmtId="10" fontId="27" fillId="0" borderId="0" xfId="1" applyNumberFormat="1" applyFont="1" applyFill="1"/>
    <xf numFmtId="10" fontId="27" fillId="0" borderId="1" xfId="1" applyNumberFormat="1" applyFont="1" applyFill="1" applyBorder="1"/>
    <xf numFmtId="10" fontId="7" fillId="0" borderId="1" xfId="5" applyNumberFormat="1" applyFont="1" applyBorder="1"/>
    <xf numFmtId="10" fontId="18" fillId="0" borderId="1" xfId="5" applyNumberFormat="1" applyFont="1" applyFill="1" applyBorder="1" applyAlignment="1">
      <alignment horizontal="center" vertical="center" wrapText="1"/>
    </xf>
    <xf numFmtId="10" fontId="27" fillId="0" borderId="1" xfId="5" applyNumberFormat="1" applyFont="1" applyFill="1" applyBorder="1" applyAlignment="1">
      <alignment horizontal="right" vertical="center"/>
    </xf>
    <xf numFmtId="10" fontId="18" fillId="0" borderId="0" xfId="5" applyNumberFormat="1" applyFont="1" applyFill="1"/>
    <xf numFmtId="165" fontId="27" fillId="0" borderId="1" xfId="1" applyNumberFormat="1" applyFont="1" applyFill="1" applyBorder="1" applyAlignment="1">
      <alignment horizontal="right" vertical="center" wrapText="1"/>
    </xf>
    <xf numFmtId="165" fontId="18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5" fontId="18" fillId="7" borderId="0" xfId="5" applyNumberFormat="1" applyFont="1" applyFill="1"/>
    <xf numFmtId="10" fontId="6" fillId="0" borderId="0" xfId="0" applyNumberFormat="1" applyFont="1" applyBorder="1"/>
    <xf numFmtId="10" fontId="6" fillId="0" borderId="1" xfId="0" applyNumberFormat="1" applyFont="1" applyBorder="1"/>
    <xf numFmtId="10" fontId="6" fillId="0" borderId="0" xfId="0" applyNumberFormat="1" applyFont="1" applyBorder="1" applyAlignment="1">
      <alignment horizontal="center" vertical="center"/>
    </xf>
    <xf numFmtId="165" fontId="27" fillId="0" borderId="15" xfId="5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/>
    <xf numFmtId="1" fontId="5" fillId="0" borderId="9" xfId="0" applyNumberFormat="1" applyFont="1" applyBorder="1" applyAlignment="1">
      <alignment horizontal="center" vertical="center"/>
    </xf>
    <xf numFmtId="10" fontId="5" fillId="0" borderId="4" xfId="0" applyNumberFormat="1" applyFont="1" applyBorder="1"/>
    <xf numFmtId="10" fontId="10" fillId="0" borderId="12" xfId="1" applyNumberFormat="1" applyFont="1" applyFill="1" applyBorder="1" applyAlignment="1">
      <alignment horizontal="center" vertical="center" wrapText="1"/>
    </xf>
    <xf numFmtId="10" fontId="6" fillId="0" borderId="4" xfId="0" applyNumberFormat="1" applyFont="1" applyBorder="1"/>
    <xf numFmtId="10" fontId="5" fillId="0" borderId="12" xfId="0" applyNumberFormat="1" applyFont="1" applyBorder="1"/>
    <xf numFmtId="10" fontId="5" fillId="0" borderId="9" xfId="0" applyNumberFormat="1" applyFont="1" applyBorder="1"/>
    <xf numFmtId="10" fontId="6" fillId="0" borderId="9" xfId="0" applyNumberFormat="1" applyFont="1" applyBorder="1"/>
    <xf numFmtId="10" fontId="5" fillId="0" borderId="13" xfId="0" applyNumberFormat="1" applyFont="1" applyBorder="1"/>
    <xf numFmtId="165" fontId="27" fillId="0" borderId="12" xfId="5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0" fontId="6" fillId="0" borderId="13" xfId="0" applyNumberFormat="1" applyFont="1" applyBorder="1"/>
    <xf numFmtId="10" fontId="6" fillId="0" borderId="12" xfId="0" applyNumberFormat="1" applyFont="1" applyBorder="1"/>
    <xf numFmtId="165" fontId="27" fillId="0" borderId="1" xfId="5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0" fontId="5" fillId="0" borderId="0" xfId="0" applyNumberFormat="1" applyFont="1"/>
    <xf numFmtId="10" fontId="6" fillId="0" borderId="0" xfId="0" applyNumberFormat="1" applyFont="1"/>
    <xf numFmtId="10" fontId="6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/>
    <xf numFmtId="10" fontId="10" fillId="0" borderId="0" xfId="0" applyNumberFormat="1" applyFont="1"/>
    <xf numFmtId="165" fontId="10" fillId="0" borderId="0" xfId="0" applyNumberFormat="1" applyFont="1" applyAlignment="1">
      <alignment horizontal="right"/>
    </xf>
    <xf numFmtId="3" fontId="10" fillId="0" borderId="18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65" fontId="10" fillId="0" borderId="18" xfId="0" applyNumberFormat="1" applyFont="1" applyBorder="1"/>
    <xf numFmtId="165" fontId="10" fillId="0" borderId="18" xfId="0" applyNumberFormat="1" applyFont="1" applyBorder="1" applyAlignment="1"/>
    <xf numFmtId="165" fontId="7" fillId="0" borderId="15" xfId="0" applyNumberFormat="1" applyFont="1" applyBorder="1"/>
    <xf numFmtId="165" fontId="7" fillId="0" borderId="1" xfId="0" applyNumberFormat="1" applyFont="1" applyBorder="1" applyAlignment="1"/>
    <xf numFmtId="165" fontId="7" fillId="0" borderId="16" xfId="0" applyNumberFormat="1" applyFont="1" applyBorder="1"/>
    <xf numFmtId="10" fontId="7" fillId="0" borderId="1" xfId="0" applyNumberFormat="1" applyFont="1" applyBorder="1"/>
    <xf numFmtId="165" fontId="7" fillId="0" borderId="21" xfId="0" applyNumberFormat="1" applyFont="1" applyBorder="1"/>
    <xf numFmtId="165" fontId="10" fillId="0" borderId="22" xfId="0" applyNumberFormat="1" applyFont="1" applyBorder="1"/>
    <xf numFmtId="165" fontId="10" fillId="0" borderId="22" xfId="0" applyNumberFormat="1" applyFont="1" applyBorder="1" applyAlignment="1"/>
    <xf numFmtId="0" fontId="7" fillId="0" borderId="0" xfId="0" applyFont="1"/>
    <xf numFmtId="165" fontId="7" fillId="0" borderId="0" xfId="0" applyNumberFormat="1" applyFont="1" applyAlignment="1"/>
    <xf numFmtId="10" fontId="7" fillId="0" borderId="0" xfId="0" applyNumberFormat="1" applyFont="1"/>
    <xf numFmtId="165" fontId="10" fillId="0" borderId="0" xfId="0" applyNumberFormat="1" applyFont="1"/>
    <xf numFmtId="165" fontId="10" fillId="0" borderId="23" xfId="0" applyNumberFormat="1" applyFont="1" applyBorder="1"/>
    <xf numFmtId="165" fontId="7" fillId="0" borderId="20" xfId="0" applyNumberFormat="1" applyFont="1" applyBorder="1"/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165" fontId="10" fillId="0" borderId="14" xfId="0" applyNumberFormat="1" applyFont="1" applyBorder="1"/>
    <xf numFmtId="165" fontId="7" fillId="0" borderId="0" xfId="0" applyNumberFormat="1" applyFont="1"/>
    <xf numFmtId="1" fontId="10" fillId="0" borderId="12" xfId="0" applyNumberFormat="1" applyFont="1" applyBorder="1" applyAlignment="1">
      <alignment horizontal="center" vertical="center"/>
    </xf>
    <xf numFmtId="10" fontId="7" fillId="0" borderId="4" xfId="0" applyNumberFormat="1" applyFont="1" applyBorder="1"/>
    <xf numFmtId="10" fontId="10" fillId="0" borderId="12" xfId="0" applyNumberFormat="1" applyFont="1" applyBorder="1"/>
    <xf numFmtId="10" fontId="7" fillId="0" borderId="9" xfId="0" applyNumberFormat="1" applyFont="1" applyBorder="1"/>
    <xf numFmtId="165" fontId="7" fillId="0" borderId="9" xfId="0" applyNumberFormat="1" applyFont="1" applyBorder="1" applyAlignment="1"/>
    <xf numFmtId="165" fontId="10" fillId="0" borderId="4" xfId="0" applyNumberFormat="1" applyFont="1" applyBorder="1" applyAlignment="1"/>
    <xf numFmtId="165" fontId="10" fillId="0" borderId="12" xfId="0" applyNumberFormat="1" applyFont="1" applyBorder="1" applyAlignment="1"/>
    <xf numFmtId="10" fontId="10" fillId="0" borderId="13" xfId="0" applyNumberFormat="1" applyFont="1" applyBorder="1"/>
    <xf numFmtId="10" fontId="7" fillId="0" borderId="12" xfId="0" applyNumberFormat="1" applyFont="1" applyBorder="1"/>
    <xf numFmtId="165" fontId="7" fillId="0" borderId="12" xfId="0" applyNumberFormat="1" applyFont="1" applyBorder="1" applyAlignment="1"/>
    <xf numFmtId="10" fontId="7" fillId="0" borderId="13" xfId="0" applyNumberFormat="1" applyFont="1" applyBorder="1"/>
    <xf numFmtId="10" fontId="7" fillId="0" borderId="0" xfId="0" applyNumberFormat="1" applyFont="1" applyBorder="1"/>
    <xf numFmtId="165" fontId="10" fillId="0" borderId="12" xfId="0" applyNumberFormat="1" applyFont="1" applyBorder="1"/>
    <xf numFmtId="165" fontId="5" fillId="0" borderId="20" xfId="0" applyNumberFormat="1" applyFont="1" applyFill="1" applyBorder="1"/>
    <xf numFmtId="165" fontId="5" fillId="0" borderId="15" xfId="0" applyNumberFormat="1" applyFont="1" applyFill="1" applyBorder="1"/>
    <xf numFmtId="0" fontId="5" fillId="0" borderId="27" xfId="0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/>
    </xf>
    <xf numFmtId="165" fontId="5" fillId="0" borderId="13" xfId="0" applyNumberFormat="1" applyFont="1" applyBorder="1"/>
    <xf numFmtId="165" fontId="5" fillId="0" borderId="12" xfId="0" applyNumberFormat="1" applyFont="1" applyFill="1" applyBorder="1"/>
    <xf numFmtId="10" fontId="10" fillId="0" borderId="31" xfId="1" applyNumberFormat="1" applyFont="1" applyFill="1" applyBorder="1" applyAlignment="1">
      <alignment horizontal="center" vertical="center" wrapText="1"/>
    </xf>
    <xf numFmtId="10" fontId="6" fillId="0" borderId="32" xfId="0" applyNumberFormat="1" applyFont="1" applyBorder="1"/>
    <xf numFmtId="49" fontId="10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center"/>
    </xf>
    <xf numFmtId="0" fontId="10" fillId="0" borderId="0" xfId="0" applyFont="1" applyFill="1"/>
    <xf numFmtId="49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Border="1"/>
    <xf numFmtId="165" fontId="10" fillId="0" borderId="14" xfId="0" applyNumberFormat="1" applyFont="1" applyFill="1" applyBorder="1"/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/>
    <xf numFmtId="165" fontId="7" fillId="0" borderId="16" xfId="0" applyNumberFormat="1" applyFont="1" applyFill="1" applyBorder="1"/>
    <xf numFmtId="165" fontId="7" fillId="0" borderId="1" xfId="0" applyNumberFormat="1" applyFont="1" applyBorder="1"/>
    <xf numFmtId="49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165" fontId="7" fillId="0" borderId="15" xfId="0" applyNumberFormat="1" applyFont="1" applyFill="1" applyBorder="1"/>
    <xf numFmtId="0" fontId="7" fillId="0" borderId="16" xfId="0" applyFont="1" applyFill="1" applyBorder="1"/>
    <xf numFmtId="49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165" fontId="7" fillId="0" borderId="9" xfId="0" applyNumberFormat="1" applyFont="1" applyBorder="1"/>
    <xf numFmtId="0" fontId="10" fillId="0" borderId="18" xfId="0" applyFont="1" applyBorder="1"/>
    <xf numFmtId="49" fontId="10" fillId="0" borderId="10" xfId="0" applyNumberFormat="1" applyFont="1" applyBorder="1" applyAlignment="1">
      <alignment horizontal="center"/>
    </xf>
    <xf numFmtId="0" fontId="10" fillId="0" borderId="11" xfId="0" applyFont="1" applyBorder="1"/>
    <xf numFmtId="165" fontId="10" fillId="0" borderId="13" xfId="0" applyNumberFormat="1" applyFont="1" applyBorder="1"/>
    <xf numFmtId="165" fontId="10" fillId="0" borderId="1" xfId="0" applyNumberFormat="1" applyFont="1" applyBorder="1"/>
    <xf numFmtId="165" fontId="7" fillId="0" borderId="26" xfId="0" applyNumberFormat="1" applyFont="1" applyFill="1" applyBorder="1"/>
    <xf numFmtId="165" fontId="10" fillId="0" borderId="18" xfId="0" applyNumberFormat="1" applyFont="1" applyFill="1" applyBorder="1"/>
    <xf numFmtId="0" fontId="10" fillId="0" borderId="14" xfId="0" applyFont="1" applyFill="1" applyBorder="1"/>
    <xf numFmtId="0" fontId="7" fillId="0" borderId="15" xfId="0" applyFont="1" applyFill="1" applyBorder="1"/>
    <xf numFmtId="165" fontId="7" fillId="0" borderId="4" xfId="0" applyNumberFormat="1" applyFont="1" applyBorder="1"/>
    <xf numFmtId="0" fontId="7" fillId="0" borderId="21" xfId="0" applyFont="1" applyFill="1" applyBorder="1"/>
    <xf numFmtId="165" fontId="10" fillId="0" borderId="12" xfId="0" applyNumberFormat="1" applyFont="1" applyFill="1" applyBorder="1"/>
    <xf numFmtId="0" fontId="10" fillId="0" borderId="6" xfId="0" applyFont="1" applyBorder="1" applyAlignment="1">
      <alignment vertical="center" wrapText="1"/>
    </xf>
    <xf numFmtId="165" fontId="10" fillId="0" borderId="18" xfId="0" applyNumberFormat="1" applyFont="1" applyBorder="1" applyAlignment="1">
      <alignment vertical="center" wrapText="1"/>
    </xf>
    <xf numFmtId="165" fontId="10" fillId="0" borderId="14" xfId="0" applyNumberFormat="1" applyFont="1" applyFill="1" applyBorder="1" applyAlignment="1">
      <alignment vertical="center" wrapText="1"/>
    </xf>
    <xf numFmtId="165" fontId="10" fillId="0" borderId="1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Fill="1"/>
    <xf numFmtId="49" fontId="10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9" xfId="0" applyNumberFormat="1" applyFont="1" applyBorder="1" applyAlignment="1">
      <alignment horizontal="center"/>
    </xf>
    <xf numFmtId="165" fontId="7" fillId="0" borderId="21" xfId="0" applyNumberFormat="1" applyFont="1" applyFill="1" applyBorder="1"/>
    <xf numFmtId="49" fontId="10" fillId="0" borderId="14" xfId="0" applyNumberFormat="1" applyFont="1" applyBorder="1" applyAlignment="1">
      <alignment horizontal="center"/>
    </xf>
    <xf numFmtId="0" fontId="10" fillId="0" borderId="12" xfId="0" applyFont="1" applyBorder="1"/>
    <xf numFmtId="165" fontId="7" fillId="0" borderId="14" xfId="0" applyNumberFormat="1" applyFont="1" applyFill="1" applyBorder="1"/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/>
    <xf numFmtId="165" fontId="7" fillId="0" borderId="24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165" fontId="7" fillId="0" borderId="12" xfId="0" applyNumberFormat="1" applyFont="1" applyBorder="1"/>
    <xf numFmtId="10" fontId="10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10" fillId="0" borderId="6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165" fontId="10" fillId="0" borderId="4" xfId="0" applyNumberFormat="1" applyFont="1" applyBorder="1"/>
    <xf numFmtId="165" fontId="7" fillId="0" borderId="14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5" xfId="0" applyFont="1" applyBorder="1"/>
    <xf numFmtId="10" fontId="10" fillId="0" borderId="6" xfId="0" applyNumberFormat="1" applyFont="1" applyBorder="1"/>
    <xf numFmtId="3" fontId="7" fillId="0" borderId="0" xfId="0" applyNumberFormat="1" applyFont="1"/>
    <xf numFmtId="0" fontId="10" fillId="0" borderId="33" xfId="0" applyFont="1" applyBorder="1"/>
    <xf numFmtId="165" fontId="10" fillId="0" borderId="15" xfId="0" applyNumberFormat="1" applyFont="1" applyBorder="1"/>
    <xf numFmtId="0" fontId="7" fillId="0" borderId="30" xfId="0" applyFont="1" applyBorder="1"/>
    <xf numFmtId="3" fontId="6" fillId="0" borderId="13" xfId="0" applyNumberFormat="1" applyFont="1" applyBorder="1"/>
    <xf numFmtId="0" fontId="6" fillId="0" borderId="0" xfId="0" applyFont="1" applyAlignment="1">
      <alignment wrapText="1"/>
    </xf>
    <xf numFmtId="4" fontId="18" fillId="0" borderId="1" xfId="5" applyNumberFormat="1" applyFont="1" applyFill="1" applyBorder="1" applyAlignment="1">
      <alignment horizontal="right" vertical="center"/>
    </xf>
    <xf numFmtId="4" fontId="27" fillId="0" borderId="1" xfId="5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right"/>
    </xf>
    <xf numFmtId="165" fontId="33" fillId="0" borderId="1" xfId="6" applyNumberFormat="1" applyFont="1" applyFill="1" applyBorder="1" applyAlignment="1">
      <alignment vertical="center"/>
    </xf>
    <xf numFmtId="0" fontId="6" fillId="0" borderId="1" xfId="0" applyFont="1" applyFill="1" applyBorder="1"/>
    <xf numFmtId="0" fontId="5" fillId="0" borderId="1" xfId="0" applyFont="1" applyBorder="1" applyAlignment="1">
      <alignment horizontal="right"/>
    </xf>
    <xf numFmtId="0" fontId="6" fillId="0" borderId="9" xfId="0" applyFont="1" applyBorder="1" applyAlignment="1">
      <alignment wrapText="1"/>
    </xf>
    <xf numFmtId="165" fontId="12" fillId="5" borderId="1" xfId="2" applyNumberFormat="1" applyFont="1" applyFill="1" applyBorder="1" applyAlignment="1">
      <alignment vertical="center"/>
    </xf>
    <xf numFmtId="165" fontId="12" fillId="6" borderId="1" xfId="2" applyNumberFormat="1" applyFont="1" applyFill="1" applyBorder="1" applyAlignment="1">
      <alignment vertical="center"/>
    </xf>
    <xf numFmtId="0" fontId="23" fillId="8" borderId="1" xfId="1" applyFont="1" applyFill="1" applyBorder="1" applyAlignment="1">
      <alignment horizontal="center"/>
    </xf>
    <xf numFmtId="165" fontId="27" fillId="9" borderId="1" xfId="1" applyNumberFormat="1" applyFont="1" applyFill="1" applyBorder="1" applyAlignment="1">
      <alignment horizontal="right" vertical="center"/>
    </xf>
    <xf numFmtId="165" fontId="28" fillId="9" borderId="1" xfId="5" applyNumberFormat="1" applyFont="1" applyFill="1" applyBorder="1" applyAlignment="1">
      <alignment vertical="center"/>
    </xf>
    <xf numFmtId="165" fontId="28" fillId="9" borderId="1" xfId="5" applyNumberFormat="1" applyFont="1" applyFill="1" applyBorder="1" applyAlignment="1">
      <alignment horizontal="right" vertical="center"/>
    </xf>
    <xf numFmtId="165" fontId="12" fillId="9" borderId="1" xfId="5" applyNumberFormat="1" applyFont="1" applyFill="1" applyBorder="1" applyAlignment="1">
      <alignment horizontal="right" vertical="center"/>
    </xf>
    <xf numFmtId="165" fontId="12" fillId="9" borderId="1" xfId="6" applyNumberFormat="1" applyFont="1" applyFill="1" applyBorder="1" applyAlignment="1">
      <alignment vertical="center"/>
    </xf>
    <xf numFmtId="165" fontId="17" fillId="9" borderId="1" xfId="5" applyNumberFormat="1" applyFont="1" applyFill="1" applyBorder="1" applyAlignment="1">
      <alignment horizontal="right" vertical="center"/>
    </xf>
    <xf numFmtId="165" fontId="27" fillId="9" borderId="1" xfId="5" applyNumberFormat="1" applyFont="1" applyFill="1" applyBorder="1" applyAlignment="1">
      <alignment horizontal="right" vertical="center"/>
    </xf>
    <xf numFmtId="165" fontId="27" fillId="9" borderId="1" xfId="5" applyNumberFormat="1" applyFont="1" applyFill="1" applyBorder="1"/>
    <xf numFmtId="10" fontId="5" fillId="0" borderId="6" xfId="0" applyNumberFormat="1" applyFont="1" applyBorder="1"/>
    <xf numFmtId="0" fontId="6" fillId="0" borderId="0" xfId="0" applyFont="1" applyAlignment="1">
      <alignment horizontal="center"/>
    </xf>
    <xf numFmtId="0" fontId="5" fillId="0" borderId="9" xfId="0" applyFont="1" applyBorder="1" applyAlignment="1">
      <alignment horizontal="right"/>
    </xf>
    <xf numFmtId="165" fontId="5" fillId="0" borderId="9" xfId="0" applyNumberFormat="1" applyFont="1" applyBorder="1"/>
    <xf numFmtId="0" fontId="5" fillId="0" borderId="9" xfId="0" applyFont="1" applyBorder="1" applyAlignment="1">
      <alignment horizontal="center"/>
    </xf>
    <xf numFmtId="165" fontId="5" fillId="0" borderId="13" xfId="0" applyNumberFormat="1" applyFont="1" applyFill="1" applyBorder="1"/>
    <xf numFmtId="3" fontId="6" fillId="0" borderId="7" xfId="0" applyNumberFormat="1" applyFont="1" applyBorder="1"/>
    <xf numFmtId="165" fontId="5" fillId="0" borderId="6" xfId="0" applyNumberFormat="1" applyFont="1" applyFill="1" applyBorder="1"/>
    <xf numFmtId="165" fontId="5" fillId="0" borderId="6" xfId="0" applyNumberFormat="1" applyFont="1" applyBorder="1" applyAlignment="1">
      <alignment vertical="center"/>
    </xf>
    <xf numFmtId="165" fontId="5" fillId="0" borderId="18" xfId="0" applyNumberFormat="1" applyFont="1" applyBorder="1" applyAlignment="1">
      <alignment vertical="center"/>
    </xf>
    <xf numFmtId="0" fontId="5" fillId="0" borderId="7" xfId="0" applyFont="1" applyBorder="1"/>
    <xf numFmtId="165" fontId="6" fillId="0" borderId="0" xfId="0" applyNumberFormat="1" applyFont="1" applyFill="1" applyBorder="1"/>
    <xf numFmtId="165" fontId="5" fillId="0" borderId="0" xfId="0" applyNumberFormat="1" applyFont="1" applyFill="1" applyBorder="1"/>
    <xf numFmtId="1" fontId="5" fillId="0" borderId="14" xfId="0" applyNumberFormat="1" applyFont="1" applyFill="1" applyBorder="1" applyAlignment="1">
      <alignment horizontal="center" vertical="center"/>
    </xf>
    <xf numFmtId="165" fontId="5" fillId="0" borderId="27" xfId="0" applyNumberFormat="1" applyFont="1" applyFill="1" applyBorder="1"/>
    <xf numFmtId="165" fontId="5" fillId="0" borderId="18" xfId="0" applyNumberFormat="1" applyFont="1" applyFill="1" applyBorder="1"/>
    <xf numFmtId="165" fontId="6" fillId="0" borderId="12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right" vertical="center"/>
    </xf>
    <xf numFmtId="10" fontId="27" fillId="2" borderId="1" xfId="5" applyNumberFormat="1" applyFont="1" applyFill="1" applyBorder="1" applyAlignment="1">
      <alignment vertical="center"/>
    </xf>
    <xf numFmtId="165" fontId="27" fillId="4" borderId="1" xfId="1" applyNumberFormat="1" applyFont="1" applyFill="1" applyBorder="1"/>
    <xf numFmtId="165" fontId="27" fillId="10" borderId="1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165" fontId="5" fillId="9" borderId="14" xfId="0" applyNumberFormat="1" applyFont="1" applyFill="1" applyBorder="1"/>
    <xf numFmtId="4" fontId="18" fillId="2" borderId="1" xfId="5" applyNumberFormat="1" applyFont="1" applyFill="1" applyBorder="1"/>
    <xf numFmtId="2" fontId="27" fillId="2" borderId="1" xfId="5" applyNumberFormat="1" applyFont="1" applyFill="1" applyBorder="1"/>
    <xf numFmtId="10" fontId="18" fillId="0" borderId="17" xfId="5" applyNumberFormat="1" applyFont="1" applyFill="1" applyBorder="1" applyAlignment="1">
      <alignment horizontal="center"/>
    </xf>
    <xf numFmtId="10" fontId="27" fillId="0" borderId="1" xfId="5" applyNumberFormat="1" applyFont="1" applyFill="1" applyBorder="1" applyAlignment="1">
      <alignment horizontal="right" vertical="center" wrapText="1"/>
    </xf>
    <xf numFmtId="10" fontId="18" fillId="0" borderId="1" xfId="5" applyNumberFormat="1" applyFont="1" applyFill="1" applyBorder="1"/>
    <xf numFmtId="10" fontId="28" fillId="0" borderId="1" xfId="5" applyNumberFormat="1" applyFont="1" applyFill="1" applyBorder="1" applyAlignment="1">
      <alignment horizontal="right" vertical="center"/>
    </xf>
    <xf numFmtId="10" fontId="18" fillId="0" borderId="1" xfId="5" applyNumberFormat="1" applyFont="1" applyFill="1" applyBorder="1" applyAlignment="1">
      <alignment horizontal="right" vertical="center"/>
    </xf>
    <xf numFmtId="10" fontId="28" fillId="0" borderId="1" xfId="5" applyNumberFormat="1" applyFont="1" applyFill="1" applyBorder="1" applyAlignment="1">
      <alignment vertic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18" fillId="0" borderId="0" xfId="1" applyNumberFormat="1" applyFont="1" applyFill="1" applyBorder="1" applyAlignment="1">
      <alignment horizontal="right"/>
    </xf>
    <xf numFmtId="165" fontId="27" fillId="0" borderId="16" xfId="1" applyNumberFormat="1" applyFont="1" applyFill="1" applyBorder="1" applyAlignment="1">
      <alignment horizontal="center" vertical="center" wrapText="1"/>
    </xf>
    <xf numFmtId="165" fontId="27" fillId="0" borderId="25" xfId="1" applyNumberFormat="1" applyFont="1" applyFill="1" applyBorder="1" applyAlignment="1">
      <alignment horizontal="center" vertical="center" wrapText="1"/>
    </xf>
    <xf numFmtId="165" fontId="27" fillId="0" borderId="19" xfId="1" applyNumberFormat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center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right"/>
    </xf>
    <xf numFmtId="0" fontId="17" fillId="0" borderId="16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17" fillId="0" borderId="19" xfId="5" applyFont="1" applyBorder="1" applyAlignment="1">
      <alignment horizontal="center" vertical="center" wrapText="1"/>
    </xf>
    <xf numFmtId="0" fontId="15" fillId="0" borderId="16" xfId="5" applyFont="1" applyBorder="1" applyAlignment="1">
      <alignment horizontal="center" vertical="center" wrapText="1"/>
    </xf>
    <xf numFmtId="0" fontId="15" fillId="0" borderId="25" xfId="5" applyFont="1" applyBorder="1" applyAlignment="1">
      <alignment horizontal="center" vertical="center" wrapText="1"/>
    </xf>
    <xf numFmtId="0" fontId="15" fillId="0" borderId="19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7" fillId="2" borderId="16" xfId="5" applyFont="1" applyFill="1" applyBorder="1" applyAlignment="1">
      <alignment horizontal="center" vertical="center" wrapText="1"/>
    </xf>
    <xf numFmtId="0" fontId="17" fillId="2" borderId="25" xfId="5" applyFont="1" applyFill="1" applyBorder="1" applyAlignment="1">
      <alignment horizontal="center" vertical="center" wrapText="1"/>
    </xf>
    <xf numFmtId="0" fontId="17" fillId="2" borderId="19" xfId="5" applyFont="1" applyFill="1" applyBorder="1" applyAlignment="1">
      <alignment horizontal="center" vertical="center" wrapText="1"/>
    </xf>
    <xf numFmtId="0" fontId="2" fillId="2" borderId="17" xfId="5" applyFont="1" applyFill="1" applyBorder="1" applyAlignment="1">
      <alignment horizontal="right"/>
    </xf>
    <xf numFmtId="0" fontId="3" fillId="2" borderId="17" xfId="5" applyFill="1" applyBorder="1" applyAlignment="1">
      <alignment horizontal="right"/>
    </xf>
    <xf numFmtId="0" fontId="15" fillId="2" borderId="16" xfId="5" applyFont="1" applyFill="1" applyBorder="1" applyAlignment="1">
      <alignment horizontal="center" vertical="center" wrapText="1"/>
    </xf>
    <xf numFmtId="0" fontId="15" fillId="2" borderId="25" xfId="5" applyFont="1" applyFill="1" applyBorder="1" applyAlignment="1">
      <alignment horizontal="center" vertical="center" wrapText="1"/>
    </xf>
    <xf numFmtId="0" fontId="15" fillId="2" borderId="19" xfId="5" applyFont="1" applyFill="1" applyBorder="1" applyAlignment="1">
      <alignment horizontal="center" vertical="center" wrapText="1"/>
    </xf>
    <xf numFmtId="0" fontId="31" fillId="0" borderId="16" xfId="5" applyFont="1" applyBorder="1" applyAlignment="1">
      <alignment horizontal="center" vertical="center" wrapText="1"/>
    </xf>
    <xf numFmtId="0" fontId="31" fillId="0" borderId="25" xfId="5" applyFont="1" applyBorder="1" applyAlignment="1">
      <alignment horizontal="center" vertical="center" wrapText="1"/>
    </xf>
    <xf numFmtId="0" fontId="31" fillId="0" borderId="19" xfId="5" applyFont="1" applyBorder="1" applyAlignment="1">
      <alignment horizontal="center" vertical="center" wrapText="1"/>
    </xf>
    <xf numFmtId="0" fontId="27" fillId="0" borderId="16" xfId="5" applyFont="1" applyFill="1" applyBorder="1" applyAlignment="1">
      <alignment horizontal="center" vertical="center" wrapText="1"/>
    </xf>
    <xf numFmtId="0" fontId="27" fillId="0" borderId="25" xfId="5" applyFont="1" applyFill="1" applyBorder="1" applyAlignment="1">
      <alignment horizontal="center" vertical="center" wrapText="1"/>
    </xf>
    <xf numFmtId="0" fontId="27" fillId="0" borderId="19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/>
    </xf>
    <xf numFmtId="0" fontId="18" fillId="0" borderId="17" xfId="5" applyFont="1" applyFill="1" applyBorder="1" applyAlignment="1">
      <alignment horizontal="center"/>
    </xf>
    <xf numFmtId="0" fontId="18" fillId="2" borderId="0" xfId="5" applyFont="1" applyFill="1" applyBorder="1" applyAlignment="1">
      <alignment horizontal="right"/>
    </xf>
    <xf numFmtId="0" fontId="24" fillId="2" borderId="1" xfId="5" applyFont="1" applyFill="1" applyBorder="1" applyAlignment="1">
      <alignment horizontal="center" vertical="center" wrapText="1"/>
    </xf>
    <xf numFmtId="0" fontId="27" fillId="2" borderId="16" xfId="5" applyFont="1" applyFill="1" applyBorder="1" applyAlignment="1">
      <alignment horizontal="center" vertical="center" wrapText="1"/>
    </xf>
    <xf numFmtId="0" fontId="27" fillId="2" borderId="25" xfId="5" applyFont="1" applyFill="1" applyBorder="1" applyAlignment="1">
      <alignment horizontal="center" vertical="center" wrapText="1"/>
    </xf>
    <xf numFmtId="0" fontId="27" fillId="2" borderId="19" xfId="5" applyFont="1" applyFill="1" applyBorder="1" applyAlignment="1">
      <alignment horizontal="center" vertical="center" wrapText="1"/>
    </xf>
    <xf numFmtId="0" fontId="24" fillId="2" borderId="16" xfId="5" applyFont="1" applyFill="1" applyBorder="1" applyAlignment="1">
      <alignment horizontal="center" vertical="center" wrapText="1"/>
    </xf>
    <xf numFmtId="0" fontId="24" fillId="2" borderId="25" xfId="5" applyFont="1" applyFill="1" applyBorder="1" applyAlignment="1">
      <alignment horizontal="center" vertical="center" wrapText="1"/>
    </xf>
    <xf numFmtId="0" fontId="24" fillId="2" borderId="19" xfId="5" applyFont="1" applyFill="1" applyBorder="1" applyAlignment="1">
      <alignment horizontal="center" vertical="center" wrapText="1"/>
    </xf>
    <xf numFmtId="0" fontId="27" fillId="2" borderId="16" xfId="5" applyFont="1" applyFill="1" applyBorder="1" applyAlignment="1">
      <alignment horizontal="center" vertical="center"/>
    </xf>
    <xf numFmtId="0" fontId="27" fillId="2" borderId="25" xfId="5" applyFont="1" applyFill="1" applyBorder="1" applyAlignment="1">
      <alignment horizontal="center" vertical="center"/>
    </xf>
    <xf numFmtId="0" fontId="27" fillId="2" borderId="19" xfId="5" applyFont="1" applyFill="1" applyBorder="1" applyAlignment="1">
      <alignment horizontal="center" vertical="center"/>
    </xf>
    <xf numFmtId="0" fontId="27" fillId="2" borderId="1" xfId="5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7">
    <cellStyle name="Ezres 2" xfId="2"/>
    <cellStyle name="Ezres 3" xfId="6"/>
    <cellStyle name="Normál" xfId="0" builtinId="0"/>
    <cellStyle name="Normál 2" xfId="1"/>
    <cellStyle name="Normál 3" xfId="3"/>
    <cellStyle name="Normál 4" xfId="5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72"/>
  <sheetViews>
    <sheetView view="pageBreakPreview" topLeftCell="A49" zoomScaleNormal="100" zoomScaleSheetLayoutView="100" workbookViewId="0">
      <selection activeCell="E65" sqref="E65"/>
    </sheetView>
  </sheetViews>
  <sheetFormatPr defaultRowHeight="15.75" x14ac:dyDescent="0.25"/>
  <cols>
    <col min="1" max="1" width="9.140625" style="2"/>
    <col min="2" max="2" width="8.7109375" style="12" customWidth="1"/>
    <col min="3" max="3" width="60.42578125" style="2" customWidth="1"/>
    <col min="4" max="4" width="17.28515625" style="164" customWidth="1"/>
    <col min="5" max="5" width="16.5703125" style="2" customWidth="1"/>
    <col min="6" max="6" width="14.28515625" style="521" bestFit="1" customWidth="1"/>
    <col min="7" max="7" width="10.5703125" style="331" bestFit="1" customWidth="1"/>
    <col min="8" max="16384" width="9.140625" style="2"/>
  </cols>
  <sheetData>
    <row r="1" spans="1:7" x14ac:dyDescent="0.25">
      <c r="B1" s="543" t="s">
        <v>389</v>
      </c>
      <c r="C1" s="543"/>
      <c r="D1" s="543"/>
      <c r="E1" s="543"/>
    </row>
    <row r="2" spans="1:7" s="1" customFormat="1" x14ac:dyDescent="0.25">
      <c r="A2" s="542" t="s">
        <v>0</v>
      </c>
      <c r="B2" s="542"/>
      <c r="C2" s="542"/>
      <c r="D2" s="542"/>
      <c r="E2" s="542"/>
      <c r="F2" s="542"/>
      <c r="G2" s="542"/>
    </row>
    <row r="3" spans="1:7" s="1" customFormat="1" x14ac:dyDescent="0.25">
      <c r="A3" s="542" t="s">
        <v>390</v>
      </c>
      <c r="B3" s="542"/>
      <c r="C3" s="542"/>
      <c r="D3" s="542"/>
      <c r="E3" s="542"/>
      <c r="F3" s="542"/>
      <c r="G3" s="542"/>
    </row>
    <row r="4" spans="1:7" s="1" customFormat="1" x14ac:dyDescent="0.25">
      <c r="A4" s="542" t="s">
        <v>536</v>
      </c>
      <c r="B4" s="542"/>
      <c r="C4" s="542"/>
      <c r="D4" s="542"/>
      <c r="E4" s="542"/>
      <c r="F4" s="542"/>
      <c r="G4" s="542"/>
    </row>
    <row r="5" spans="1:7" s="1" customFormat="1" x14ac:dyDescent="0.25">
      <c r="A5" s="542" t="s">
        <v>1</v>
      </c>
      <c r="B5" s="542"/>
      <c r="C5" s="542"/>
      <c r="D5" s="542"/>
      <c r="E5" s="542"/>
      <c r="F5" s="542"/>
      <c r="G5" s="542"/>
    </row>
    <row r="6" spans="1:7" s="1" customFormat="1" ht="16.5" thickBot="1" x14ac:dyDescent="0.3">
      <c r="B6" s="18" t="s">
        <v>87</v>
      </c>
      <c r="D6" s="159"/>
      <c r="F6" s="522"/>
      <c r="G6" s="334"/>
    </row>
    <row r="7" spans="1:7" s="3" customFormat="1" ht="16.5" thickBot="1" x14ac:dyDescent="0.3">
      <c r="A7" s="175"/>
      <c r="B7" s="5">
        <v>1</v>
      </c>
      <c r="C7" s="6">
        <v>2</v>
      </c>
      <c r="D7" s="199">
        <v>3</v>
      </c>
      <c r="E7" s="243">
        <v>4</v>
      </c>
      <c r="F7" s="523">
        <v>5</v>
      </c>
      <c r="G7" s="335">
        <v>6</v>
      </c>
    </row>
    <row r="8" spans="1:7" s="1" customFormat="1" ht="32.25" thickBot="1" x14ac:dyDescent="0.3">
      <c r="B8" s="7" t="s">
        <v>4</v>
      </c>
      <c r="C8" s="6" t="s">
        <v>2</v>
      </c>
      <c r="D8" s="207" t="s">
        <v>391</v>
      </c>
      <c r="E8" s="244" t="s">
        <v>392</v>
      </c>
      <c r="F8" s="333" t="s">
        <v>393</v>
      </c>
      <c r="G8" s="337" t="s">
        <v>394</v>
      </c>
    </row>
    <row r="9" spans="1:7" s="1" customFormat="1" ht="16.5" thickBot="1" x14ac:dyDescent="0.3">
      <c r="B9" s="14" t="s">
        <v>3</v>
      </c>
      <c r="C9" s="186" t="s">
        <v>16</v>
      </c>
      <c r="D9" s="166">
        <f>SUM(D10:D15)</f>
        <v>299157.57900000003</v>
      </c>
      <c r="E9" s="209">
        <f>SUM(E10:E15)</f>
        <v>315078.842</v>
      </c>
      <c r="F9" s="259">
        <f t="shared" ref="F9" si="0">SUM(F10:F15)</f>
        <v>239256.802</v>
      </c>
      <c r="G9" s="339">
        <f>F9/E9</f>
        <v>0.75935534255899029</v>
      </c>
    </row>
    <row r="10" spans="1:7" x14ac:dyDescent="0.25">
      <c r="B10" s="15" t="s">
        <v>6</v>
      </c>
      <c r="C10" s="8" t="s">
        <v>30</v>
      </c>
      <c r="D10" s="201">
        <v>102239.09</v>
      </c>
      <c r="E10" s="245">
        <v>102239.09</v>
      </c>
      <c r="F10" s="260">
        <v>77825.05</v>
      </c>
      <c r="G10" s="338">
        <f t="shared" ref="G10:G49" si="1">F10/E10</f>
        <v>0.76120640353899871</v>
      </c>
    </row>
    <row r="11" spans="1:7" x14ac:dyDescent="0.25">
      <c r="B11" s="16" t="s">
        <v>7</v>
      </c>
      <c r="C11" s="4" t="s">
        <v>31</v>
      </c>
      <c r="D11" s="202">
        <v>72321.217999999993</v>
      </c>
      <c r="E11" s="202">
        <v>72321.217999999993</v>
      </c>
      <c r="F11" s="260">
        <v>55590.76</v>
      </c>
      <c r="G11" s="331">
        <f t="shared" si="1"/>
        <v>0.76866459854146829</v>
      </c>
    </row>
    <row r="12" spans="1:7" x14ac:dyDescent="0.25">
      <c r="B12" s="16" t="s">
        <v>8</v>
      </c>
      <c r="C12" s="4" t="s">
        <v>316</v>
      </c>
      <c r="D12" s="202">
        <v>120196.501</v>
      </c>
      <c r="E12" s="202">
        <v>132530.50099999999</v>
      </c>
      <c r="F12" s="260">
        <v>99409.758000000002</v>
      </c>
      <c r="G12" s="331">
        <f t="shared" si="1"/>
        <v>0.75008965671985206</v>
      </c>
    </row>
    <row r="13" spans="1:7" x14ac:dyDescent="0.25">
      <c r="B13" s="16" t="s">
        <v>9</v>
      </c>
      <c r="C13" s="4" t="s">
        <v>33</v>
      </c>
      <c r="D13" s="202">
        <v>4400.7700000000004</v>
      </c>
      <c r="E13" s="202">
        <v>5380.6869999999999</v>
      </c>
      <c r="F13" s="260">
        <v>4177.6080000000002</v>
      </c>
      <c r="G13" s="331">
        <f t="shared" si="1"/>
        <v>0.77640791965784295</v>
      </c>
    </row>
    <row r="14" spans="1:7" x14ac:dyDescent="0.25">
      <c r="B14" s="16" t="s">
        <v>10</v>
      </c>
      <c r="C14" s="4" t="s">
        <v>34</v>
      </c>
      <c r="D14" s="202"/>
      <c r="E14" s="202">
        <v>2607.346</v>
      </c>
      <c r="F14" s="260">
        <v>2253.6260000000002</v>
      </c>
      <c r="G14" s="331">
        <f t="shared" si="1"/>
        <v>0.86433714589471444</v>
      </c>
    </row>
    <row r="15" spans="1:7" ht="16.5" thickBot="1" x14ac:dyDescent="0.3">
      <c r="B15" s="17" t="s">
        <v>11</v>
      </c>
      <c r="C15" s="10" t="s">
        <v>358</v>
      </c>
      <c r="D15" s="203"/>
      <c r="E15" s="246"/>
      <c r="F15" s="260"/>
      <c r="G15" s="340"/>
    </row>
    <row r="16" spans="1:7" s="1" customFormat="1" ht="16.5" thickBot="1" x14ac:dyDescent="0.3">
      <c r="B16" s="14" t="s">
        <v>5</v>
      </c>
      <c r="C16" s="9" t="s">
        <v>39</v>
      </c>
      <c r="D16" s="200">
        <f>SUM(D17:D18)</f>
        <v>148870</v>
      </c>
      <c r="E16" s="209">
        <f>SUM(E17:E18)</f>
        <v>175018.09899999999</v>
      </c>
      <c r="F16" s="259">
        <f t="shared" ref="F16" si="2">SUM(F17:F18)</f>
        <v>146069.74600000001</v>
      </c>
      <c r="G16" s="339">
        <f t="shared" si="1"/>
        <v>0.83459794635296558</v>
      </c>
    </row>
    <row r="17" spans="2:7" x14ac:dyDescent="0.25">
      <c r="B17" s="15" t="s">
        <v>12</v>
      </c>
      <c r="C17" s="8" t="s">
        <v>36</v>
      </c>
      <c r="D17" s="201"/>
      <c r="E17" s="246"/>
      <c r="F17" s="260"/>
      <c r="G17" s="336"/>
    </row>
    <row r="18" spans="2:7" x14ac:dyDescent="0.25">
      <c r="B18" s="16" t="s">
        <v>13</v>
      </c>
      <c r="C18" s="4" t="s">
        <v>515</v>
      </c>
      <c r="D18" s="202">
        <v>148870</v>
      </c>
      <c r="E18" s="202">
        <v>175018.09899999999</v>
      </c>
      <c r="F18" s="260">
        <v>146069.74600000001</v>
      </c>
      <c r="G18" s="331">
        <f t="shared" si="1"/>
        <v>0.83459794635296558</v>
      </c>
    </row>
    <row r="19" spans="2:7" ht="16.5" thickBot="1" x14ac:dyDescent="0.3">
      <c r="B19" s="17" t="s">
        <v>14</v>
      </c>
      <c r="C19" s="10" t="s">
        <v>38</v>
      </c>
      <c r="D19" s="203">
        <v>42772</v>
      </c>
      <c r="E19" s="202">
        <v>67518.5</v>
      </c>
      <c r="F19" s="260">
        <v>57580.315999999999</v>
      </c>
      <c r="G19" s="341">
        <f t="shared" si="1"/>
        <v>0.85280798595940366</v>
      </c>
    </row>
    <row r="20" spans="2:7" s="1" customFormat="1" ht="16.5" thickBot="1" x14ac:dyDescent="0.3">
      <c r="B20" s="14" t="s">
        <v>15</v>
      </c>
      <c r="C20" s="9" t="s">
        <v>43</v>
      </c>
      <c r="D20" s="200">
        <f>SUM(D21:D22)</f>
        <v>322909</v>
      </c>
      <c r="E20" s="247">
        <f>SUM(E21:E22)</f>
        <v>313129.05499999999</v>
      </c>
      <c r="F20" s="524">
        <f>SUM(F21:F22)</f>
        <v>222109.965</v>
      </c>
      <c r="G20" s="339">
        <f t="shared" si="1"/>
        <v>0.7093240357398326</v>
      </c>
    </row>
    <row r="21" spans="2:7" x14ac:dyDescent="0.25">
      <c r="B21" s="15" t="s">
        <v>17</v>
      </c>
      <c r="C21" s="8" t="s">
        <v>40</v>
      </c>
      <c r="D21" s="201">
        <v>15000</v>
      </c>
      <c r="E21" s="202">
        <v>15000</v>
      </c>
      <c r="F21" s="260">
        <v>15000</v>
      </c>
      <c r="G21" s="338">
        <f t="shared" si="1"/>
        <v>1</v>
      </c>
    </row>
    <row r="22" spans="2:7" x14ac:dyDescent="0.25">
      <c r="B22" s="16" t="s">
        <v>18</v>
      </c>
      <c r="C22" s="4" t="s">
        <v>41</v>
      </c>
      <c r="D22" s="202">
        <v>307909</v>
      </c>
      <c r="E22" s="202">
        <v>298129.05499999999</v>
      </c>
      <c r="F22" s="260">
        <v>207109.965</v>
      </c>
      <c r="G22" s="331">
        <f t="shared" si="1"/>
        <v>0.69469902891551449</v>
      </c>
    </row>
    <row r="23" spans="2:7" ht="16.5" thickBot="1" x14ac:dyDescent="0.3">
      <c r="B23" s="17" t="s">
        <v>19</v>
      </c>
      <c r="C23" s="10" t="s">
        <v>42</v>
      </c>
      <c r="D23" s="203">
        <v>307909</v>
      </c>
      <c r="E23" s="248">
        <v>298129.05499999999</v>
      </c>
      <c r="F23" s="260">
        <v>207109.965</v>
      </c>
      <c r="G23" s="341">
        <f t="shared" si="1"/>
        <v>0.69469902891551449</v>
      </c>
    </row>
    <row r="24" spans="2:7" s="1" customFormat="1" ht="16.5" thickBot="1" x14ac:dyDescent="0.3">
      <c r="B24" s="14" t="s">
        <v>20</v>
      </c>
      <c r="C24" s="9" t="s">
        <v>21</v>
      </c>
      <c r="D24" s="200">
        <f>D25+D28+D29+D30</f>
        <v>102821</v>
      </c>
      <c r="E24" s="209">
        <f>E25+E28+E29+E30</f>
        <v>102821</v>
      </c>
      <c r="F24" s="259">
        <f>F25+F28+F29+F30</f>
        <v>101376.80799999999</v>
      </c>
      <c r="G24" s="339">
        <f t="shared" si="1"/>
        <v>0.98595430894467073</v>
      </c>
    </row>
    <row r="25" spans="2:7" x14ac:dyDescent="0.25">
      <c r="B25" s="15" t="s">
        <v>22</v>
      </c>
      <c r="C25" s="8" t="s">
        <v>44</v>
      </c>
      <c r="D25" s="201">
        <f>D26+D27</f>
        <v>91027</v>
      </c>
      <c r="E25" s="201">
        <f>E26+E27</f>
        <v>91027</v>
      </c>
      <c r="F25" s="261">
        <f>F26+F27</f>
        <v>90584.695999999996</v>
      </c>
      <c r="G25" s="338">
        <f t="shared" si="1"/>
        <v>0.99514095817724413</v>
      </c>
    </row>
    <row r="26" spans="2:7" x14ac:dyDescent="0.25">
      <c r="B26" s="16" t="s">
        <v>23</v>
      </c>
      <c r="C26" s="4" t="s">
        <v>45</v>
      </c>
      <c r="D26" s="202">
        <v>44</v>
      </c>
      <c r="E26" s="202">
        <v>44</v>
      </c>
      <c r="F26" s="260">
        <v>90.048000000000002</v>
      </c>
      <c r="G26" s="331">
        <f t="shared" si="1"/>
        <v>2.0465454545454547</v>
      </c>
    </row>
    <row r="27" spans="2:7" x14ac:dyDescent="0.25">
      <c r="B27" s="16" t="s">
        <v>24</v>
      </c>
      <c r="C27" s="4" t="s">
        <v>47</v>
      </c>
      <c r="D27" s="202">
        <v>90983</v>
      </c>
      <c r="E27" s="202">
        <v>90983</v>
      </c>
      <c r="F27" s="260">
        <v>90494.648000000001</v>
      </c>
      <c r="G27" s="331">
        <f t="shared" si="1"/>
        <v>0.99463249178417945</v>
      </c>
    </row>
    <row r="28" spans="2:7" x14ac:dyDescent="0.25">
      <c r="B28" s="16" t="s">
        <v>26</v>
      </c>
      <c r="C28" s="4" t="s">
        <v>48</v>
      </c>
      <c r="D28" s="202">
        <v>10605</v>
      </c>
      <c r="E28" s="202">
        <v>10605</v>
      </c>
      <c r="F28" s="260">
        <v>9717.7939999999999</v>
      </c>
      <c r="G28" s="331">
        <f t="shared" si="1"/>
        <v>0.91634078264969354</v>
      </c>
    </row>
    <row r="29" spans="2:7" x14ac:dyDescent="0.25">
      <c r="B29" s="16" t="s">
        <v>27</v>
      </c>
      <c r="C29" s="4" t="s">
        <v>49</v>
      </c>
      <c r="D29" s="202">
        <v>700</v>
      </c>
      <c r="E29" s="202">
        <v>700</v>
      </c>
      <c r="F29" s="260">
        <f>458.339+1.4</f>
        <v>459.73899999999998</v>
      </c>
      <c r="G29" s="331">
        <f t="shared" si="1"/>
        <v>0.65676999999999996</v>
      </c>
    </row>
    <row r="30" spans="2:7" ht="16.5" thickBot="1" x14ac:dyDescent="0.3">
      <c r="B30" s="17" t="s">
        <v>28</v>
      </c>
      <c r="C30" s="10" t="s">
        <v>50</v>
      </c>
      <c r="D30" s="203">
        <v>489</v>
      </c>
      <c r="E30" s="248">
        <v>489</v>
      </c>
      <c r="F30" s="264">
        <v>614.57899999999995</v>
      </c>
      <c r="G30" s="341">
        <f t="shared" si="1"/>
        <v>1.2568077709611452</v>
      </c>
    </row>
    <row r="31" spans="2:7" s="1" customFormat="1" ht="16.5" thickBot="1" x14ac:dyDescent="0.3">
      <c r="B31" s="14" t="s">
        <v>29</v>
      </c>
      <c r="C31" s="9" t="s">
        <v>51</v>
      </c>
      <c r="D31" s="200">
        <v>61573.3</v>
      </c>
      <c r="E31" s="209">
        <v>61573.3</v>
      </c>
      <c r="F31" s="400">
        <v>51840.120999999999</v>
      </c>
      <c r="G31" s="339">
        <f t="shared" si="1"/>
        <v>0.84192533127183367</v>
      </c>
    </row>
    <row r="32" spans="2:7" s="1" customFormat="1" ht="16.5" thickBot="1" x14ac:dyDescent="0.3">
      <c r="B32" s="19" t="s">
        <v>52</v>
      </c>
      <c r="C32" s="20" t="s">
        <v>53</v>
      </c>
      <c r="D32" s="204"/>
      <c r="E32" s="209"/>
      <c r="F32" s="395"/>
      <c r="G32" s="342"/>
    </row>
    <row r="33" spans="2:7" s="1" customFormat="1" ht="16.5" thickBot="1" x14ac:dyDescent="0.3">
      <c r="B33" s="14" t="s">
        <v>54</v>
      </c>
      <c r="C33" s="9" t="s">
        <v>160</v>
      </c>
      <c r="D33" s="200">
        <v>210</v>
      </c>
      <c r="E33" s="209">
        <v>210</v>
      </c>
      <c r="F33" s="400">
        <v>258</v>
      </c>
      <c r="G33" s="339">
        <f t="shared" si="1"/>
        <v>1.2285714285714286</v>
      </c>
    </row>
    <row r="34" spans="2:7" s="1" customFormat="1" ht="16.5" thickBot="1" x14ac:dyDescent="0.3">
      <c r="B34" s="14" t="s">
        <v>56</v>
      </c>
      <c r="C34" s="9" t="s">
        <v>57</v>
      </c>
      <c r="D34" s="200"/>
      <c r="E34" s="209"/>
      <c r="F34" s="400"/>
      <c r="G34" s="339"/>
    </row>
    <row r="35" spans="2:7" s="1" customFormat="1" ht="16.5" thickBot="1" x14ac:dyDescent="0.3">
      <c r="B35" s="14" t="s">
        <v>58</v>
      </c>
      <c r="C35" s="9" t="s">
        <v>137</v>
      </c>
      <c r="D35" s="200">
        <f>D9+D16+D20+D24+D31+D32+D33+D34</f>
        <v>935540.87900000007</v>
      </c>
      <c r="E35" s="209">
        <f>E9+E16+E20+E24+E31+E32+E33+E34</f>
        <v>967830.29600000009</v>
      </c>
      <c r="F35" s="259">
        <f>F9+F16+F20+F24+F31+F32+F33+F34</f>
        <v>760911.44200000004</v>
      </c>
      <c r="G35" s="339">
        <f t="shared" si="1"/>
        <v>0.78620337175309918</v>
      </c>
    </row>
    <row r="36" spans="2:7" s="1" customFormat="1" ht="16.5" thickBot="1" x14ac:dyDescent="0.3">
      <c r="B36" s="14" t="s">
        <v>59</v>
      </c>
      <c r="C36" s="9" t="s">
        <v>60</v>
      </c>
      <c r="D36" s="200">
        <f>SUM(D37:D39)</f>
        <v>0</v>
      </c>
      <c r="E36" s="209">
        <f>SUM(E37:E39)</f>
        <v>0</v>
      </c>
      <c r="F36" s="400"/>
      <c r="G36" s="339"/>
    </row>
    <row r="37" spans="2:7" x14ac:dyDescent="0.25">
      <c r="B37" s="15" t="s">
        <v>61</v>
      </c>
      <c r="C37" s="8" t="s">
        <v>62</v>
      </c>
      <c r="D37" s="201"/>
      <c r="E37" s="249"/>
      <c r="F37" s="261"/>
      <c r="G37" s="336"/>
    </row>
    <row r="38" spans="2:7" x14ac:dyDescent="0.25">
      <c r="B38" s="16" t="s">
        <v>63</v>
      </c>
      <c r="C38" s="4" t="s">
        <v>64</v>
      </c>
      <c r="D38" s="202"/>
      <c r="E38" s="246"/>
      <c r="F38" s="260"/>
      <c r="G38" s="334"/>
    </row>
    <row r="39" spans="2:7" ht="16.5" thickBot="1" x14ac:dyDescent="0.3">
      <c r="B39" s="17" t="s">
        <v>65</v>
      </c>
      <c r="C39" s="10" t="s">
        <v>66</v>
      </c>
      <c r="D39" s="203"/>
      <c r="E39" s="250"/>
      <c r="F39" s="264"/>
      <c r="G39" s="340"/>
    </row>
    <row r="40" spans="2:7" s="1" customFormat="1" ht="16.5" thickBot="1" x14ac:dyDescent="0.3">
      <c r="B40" s="14" t="s">
        <v>67</v>
      </c>
      <c r="C40" s="9" t="s">
        <v>68</v>
      </c>
      <c r="D40" s="200"/>
      <c r="E40" s="251"/>
      <c r="F40" s="400"/>
      <c r="G40" s="339"/>
    </row>
    <row r="41" spans="2:7" s="1" customFormat="1" ht="16.5" thickBot="1" x14ac:dyDescent="0.3">
      <c r="B41" s="14" t="s">
        <v>69</v>
      </c>
      <c r="C41" s="9" t="s">
        <v>70</v>
      </c>
      <c r="D41" s="200">
        <v>457973.75300000003</v>
      </c>
      <c r="E41" s="209">
        <v>464614.65600000002</v>
      </c>
      <c r="F41" s="395">
        <v>464614.65600000002</v>
      </c>
      <c r="G41" s="339">
        <f t="shared" si="1"/>
        <v>1</v>
      </c>
    </row>
    <row r="42" spans="2:7" s="1" customFormat="1" ht="16.5" thickBot="1" x14ac:dyDescent="0.3">
      <c r="B42" s="14" t="s">
        <v>71</v>
      </c>
      <c r="C42" s="9" t="s">
        <v>72</v>
      </c>
      <c r="D42" s="200">
        <f>D43+D44</f>
        <v>0</v>
      </c>
      <c r="E42" s="200">
        <f t="shared" ref="E42:F42" si="3">E43+E44</f>
        <v>0</v>
      </c>
      <c r="F42" s="525">
        <f t="shared" si="3"/>
        <v>0</v>
      </c>
      <c r="G42" s="339"/>
    </row>
    <row r="43" spans="2:7" x14ac:dyDescent="0.25">
      <c r="B43" s="15" t="s">
        <v>73</v>
      </c>
      <c r="C43" s="8" t="s">
        <v>74</v>
      </c>
      <c r="D43" s="201"/>
      <c r="E43" s="249"/>
      <c r="F43" s="261"/>
      <c r="G43" s="336"/>
    </row>
    <row r="44" spans="2:7" ht="16.5" thickBot="1" x14ac:dyDescent="0.3">
      <c r="B44" s="17" t="s">
        <v>75</v>
      </c>
      <c r="C44" s="10" t="s">
        <v>76</v>
      </c>
      <c r="D44" s="203"/>
      <c r="E44" s="250"/>
      <c r="F44" s="264"/>
      <c r="G44" s="340"/>
    </row>
    <row r="45" spans="2:7" s="1" customFormat="1" ht="16.5" thickBot="1" x14ac:dyDescent="0.3">
      <c r="B45" s="14" t="s">
        <v>77</v>
      </c>
      <c r="C45" s="9" t="s">
        <v>78</v>
      </c>
      <c r="D45" s="200"/>
      <c r="E45" s="251"/>
      <c r="F45" s="400"/>
      <c r="G45" s="339"/>
    </row>
    <row r="46" spans="2:7" s="1" customFormat="1" ht="16.5" thickBot="1" x14ac:dyDescent="0.3">
      <c r="B46" s="14" t="s">
        <v>79</v>
      </c>
      <c r="C46" s="9" t="s">
        <v>80</v>
      </c>
      <c r="D46" s="200"/>
      <c r="E46" s="251"/>
      <c r="F46" s="400"/>
      <c r="G46" s="339"/>
    </row>
    <row r="47" spans="2:7" s="1" customFormat="1" ht="16.5" thickBot="1" x14ac:dyDescent="0.3">
      <c r="B47" s="14" t="s">
        <v>81</v>
      </c>
      <c r="C47" s="9" t="s">
        <v>82</v>
      </c>
      <c r="D47" s="200"/>
      <c r="E47" s="252"/>
      <c r="F47" s="400"/>
      <c r="G47" s="339"/>
    </row>
    <row r="48" spans="2:7" s="1" customFormat="1" ht="16.5" thickBot="1" x14ac:dyDescent="0.3">
      <c r="B48" s="14" t="s">
        <v>83</v>
      </c>
      <c r="C48" s="9" t="s">
        <v>84</v>
      </c>
      <c r="D48" s="200">
        <f>D36+D40+D41+D42+D45+D46+D47</f>
        <v>457973.75300000003</v>
      </c>
      <c r="E48" s="209">
        <f>E36+E40+E41+E42+E45+E46+E47</f>
        <v>464614.65600000002</v>
      </c>
      <c r="F48" s="259">
        <f>F36+F40+F41+F42+F45+F46+F47</f>
        <v>464614.65600000002</v>
      </c>
      <c r="G48" s="339">
        <f t="shared" si="1"/>
        <v>1</v>
      </c>
    </row>
    <row r="49" spans="1:7" s="1" customFormat="1" ht="32.25" thickBot="1" x14ac:dyDescent="0.3">
      <c r="B49" s="14" t="s">
        <v>85</v>
      </c>
      <c r="C49" s="11" t="s">
        <v>86</v>
      </c>
      <c r="D49" s="200">
        <f>D35+D48</f>
        <v>1393514.6320000002</v>
      </c>
      <c r="E49" s="209">
        <f>E35+E48</f>
        <v>1432444.952</v>
      </c>
      <c r="F49" s="533">
        <f>F35+F48</f>
        <v>1225526.098</v>
      </c>
      <c r="G49" s="339">
        <f t="shared" si="1"/>
        <v>0.85554847764928277</v>
      </c>
    </row>
    <row r="50" spans="1:7" x14ac:dyDescent="0.25">
      <c r="G50" s="330"/>
    </row>
    <row r="51" spans="1:7" x14ac:dyDescent="0.25">
      <c r="A51" s="542" t="s">
        <v>88</v>
      </c>
      <c r="B51" s="542"/>
      <c r="C51" s="542"/>
      <c r="D51" s="542"/>
      <c r="E51" s="542"/>
      <c r="F51" s="542"/>
      <c r="G51" s="542"/>
    </row>
    <row r="52" spans="1:7" ht="16.5" thickBot="1" x14ac:dyDescent="0.3">
      <c r="B52" s="18" t="s">
        <v>89</v>
      </c>
      <c r="C52" s="1"/>
      <c r="D52" s="160"/>
      <c r="G52" s="330"/>
    </row>
    <row r="53" spans="1:7" s="197" customFormat="1" ht="32.25" thickBot="1" x14ac:dyDescent="0.3">
      <c r="B53" s="7" t="s">
        <v>4</v>
      </c>
      <c r="C53" s="6" t="s">
        <v>90</v>
      </c>
      <c r="D53" s="207" t="s">
        <v>391</v>
      </c>
      <c r="E53" s="253" t="s">
        <v>392</v>
      </c>
      <c r="F53" s="343" t="s">
        <v>393</v>
      </c>
      <c r="G53" s="337" t="s">
        <v>394</v>
      </c>
    </row>
    <row r="54" spans="1:7" ht="16.5" thickBot="1" x14ac:dyDescent="0.3">
      <c r="B54" s="14" t="s">
        <v>3</v>
      </c>
      <c r="C54" s="186" t="s">
        <v>385</v>
      </c>
      <c r="D54" s="166">
        <f>D55+D56+D57+D58+D59+D65</f>
        <v>737254.89899999998</v>
      </c>
      <c r="E54" s="209">
        <f>E55+E56+E57+E58+E59+E65</f>
        <v>780975.20100000012</v>
      </c>
      <c r="F54" s="259">
        <f>F55+F56+F57+F58+F59+F65</f>
        <v>456430.40799999994</v>
      </c>
      <c r="G54" s="339">
        <f>F54/E54</f>
        <v>0.58443649352189853</v>
      </c>
    </row>
    <row r="55" spans="1:7" x14ac:dyDescent="0.25">
      <c r="B55" s="21" t="s">
        <v>6</v>
      </c>
      <c r="C55" s="8" t="s">
        <v>91</v>
      </c>
      <c r="D55" s="201">
        <v>351579</v>
      </c>
      <c r="E55" s="202">
        <v>384067.28200000001</v>
      </c>
      <c r="F55" s="260">
        <v>252758.84599999999</v>
      </c>
      <c r="G55" s="338">
        <f t="shared" ref="G55:G88" si="4">F55/E55</f>
        <v>0.6581108515252283</v>
      </c>
    </row>
    <row r="56" spans="1:7" x14ac:dyDescent="0.25">
      <c r="B56" s="22" t="s">
        <v>7</v>
      </c>
      <c r="C56" s="4" t="s">
        <v>92</v>
      </c>
      <c r="D56" s="202">
        <v>62543.8</v>
      </c>
      <c r="E56" s="202">
        <v>68859.789999999994</v>
      </c>
      <c r="F56" s="260">
        <v>43310.563999999998</v>
      </c>
      <c r="G56" s="338">
        <f t="shared" si="4"/>
        <v>0.62896741334819639</v>
      </c>
    </row>
    <row r="57" spans="1:7" x14ac:dyDescent="0.25">
      <c r="B57" s="22" t="s">
        <v>8</v>
      </c>
      <c r="C57" s="4" t="s">
        <v>93</v>
      </c>
      <c r="D57" s="202">
        <v>257135.7</v>
      </c>
      <c r="E57" s="202">
        <v>262389.73800000001</v>
      </c>
      <c r="F57" s="260">
        <v>133980.981</v>
      </c>
      <c r="G57" s="338">
        <f t="shared" si="4"/>
        <v>0.51061822013786218</v>
      </c>
    </row>
    <row r="58" spans="1:7" x14ac:dyDescent="0.25">
      <c r="B58" s="22" t="s">
        <v>9</v>
      </c>
      <c r="C58" s="4" t="s">
        <v>94</v>
      </c>
      <c r="D58" s="202">
        <v>5400</v>
      </c>
      <c r="E58" s="202">
        <v>6107.78</v>
      </c>
      <c r="F58" s="260">
        <v>2391.1819999999998</v>
      </c>
      <c r="G58" s="338">
        <f t="shared" si="4"/>
        <v>0.39149772912580344</v>
      </c>
    </row>
    <row r="59" spans="1:7" x14ac:dyDescent="0.25">
      <c r="B59" s="22" t="s">
        <v>10</v>
      </c>
      <c r="C59" s="4" t="s">
        <v>95</v>
      </c>
      <c r="D59" s="202">
        <f>SUM(D60:D64)</f>
        <v>34490.1</v>
      </c>
      <c r="E59" s="202">
        <f>SUM(E60:E64)</f>
        <v>37360.1</v>
      </c>
      <c r="F59" s="260">
        <f>SUM(F60:F64)</f>
        <v>23988.834999999999</v>
      </c>
      <c r="G59" s="338">
        <f t="shared" si="4"/>
        <v>0.6420977192245203</v>
      </c>
    </row>
    <row r="60" spans="1:7" x14ac:dyDescent="0.25">
      <c r="B60" s="22" t="s">
        <v>378</v>
      </c>
      <c r="C60" s="23" t="s">
        <v>96</v>
      </c>
      <c r="D60" s="202">
        <v>3000</v>
      </c>
      <c r="E60" s="202">
        <v>3000</v>
      </c>
      <c r="F60" s="260">
        <v>2617.3420000000001</v>
      </c>
      <c r="G60" s="338">
        <f t="shared" si="4"/>
        <v>0.87244733333333335</v>
      </c>
    </row>
    <row r="61" spans="1:7" x14ac:dyDescent="0.25">
      <c r="B61" s="22" t="s">
        <v>379</v>
      </c>
      <c r="C61" s="4" t="s">
        <v>103</v>
      </c>
      <c r="D61" s="202"/>
      <c r="E61" s="202"/>
      <c r="F61" s="260"/>
      <c r="G61" s="338"/>
    </row>
    <row r="62" spans="1:7" x14ac:dyDescent="0.25">
      <c r="B62" s="22" t="s">
        <v>380</v>
      </c>
      <c r="C62" s="4" t="s">
        <v>138</v>
      </c>
      <c r="D62" s="202"/>
      <c r="E62" s="202"/>
      <c r="F62" s="260"/>
      <c r="G62" s="338"/>
    </row>
    <row r="63" spans="1:7" x14ac:dyDescent="0.25">
      <c r="B63" s="22" t="s">
        <v>381</v>
      </c>
      <c r="C63" s="4" t="s">
        <v>139</v>
      </c>
      <c r="D63" s="202">
        <v>4378</v>
      </c>
      <c r="E63" s="202">
        <v>4378</v>
      </c>
      <c r="F63" s="260">
        <v>3743.665</v>
      </c>
      <c r="G63" s="338">
        <f t="shared" si="4"/>
        <v>0.85510849703060754</v>
      </c>
    </row>
    <row r="64" spans="1:7" x14ac:dyDescent="0.25">
      <c r="B64" s="22" t="s">
        <v>382</v>
      </c>
      <c r="C64" s="4" t="s">
        <v>140</v>
      </c>
      <c r="D64" s="202">
        <v>27112.1</v>
      </c>
      <c r="E64" s="202">
        <v>29982.1</v>
      </c>
      <c r="F64" s="260">
        <v>17627.828000000001</v>
      </c>
      <c r="G64" s="338">
        <f t="shared" si="4"/>
        <v>0.58794507389409023</v>
      </c>
    </row>
    <row r="65" spans="2:7" x14ac:dyDescent="0.25">
      <c r="B65" s="22" t="s">
        <v>11</v>
      </c>
      <c r="C65" s="4" t="s">
        <v>102</v>
      </c>
      <c r="D65" s="202">
        <f>SUM(D66:D67)</f>
        <v>26106.298999999999</v>
      </c>
      <c r="E65" s="202">
        <f>SUM(E66:E67)</f>
        <v>22190.510999999999</v>
      </c>
      <c r="F65" s="260"/>
      <c r="G65" s="338">
        <f t="shared" si="4"/>
        <v>0</v>
      </c>
    </row>
    <row r="66" spans="2:7" x14ac:dyDescent="0.25">
      <c r="B66" s="22" t="s">
        <v>383</v>
      </c>
      <c r="C66" s="4" t="s">
        <v>105</v>
      </c>
      <c r="D66" s="202">
        <v>10951.066999999999</v>
      </c>
      <c r="E66" s="202">
        <v>2732.28</v>
      </c>
      <c r="F66" s="260"/>
      <c r="G66" s="338">
        <f t="shared" si="4"/>
        <v>0</v>
      </c>
    </row>
    <row r="67" spans="2:7" ht="16.5" thickBot="1" x14ac:dyDescent="0.3">
      <c r="B67" s="25" t="s">
        <v>384</v>
      </c>
      <c r="C67" s="10" t="s">
        <v>107</v>
      </c>
      <c r="D67" s="203">
        <v>15155.232</v>
      </c>
      <c r="E67" s="202">
        <v>19458.231</v>
      </c>
      <c r="F67" s="260"/>
      <c r="G67" s="348">
        <f t="shared" si="4"/>
        <v>0</v>
      </c>
    </row>
    <row r="68" spans="2:7" ht="16.5" thickBot="1" x14ac:dyDescent="0.3">
      <c r="B68" s="14" t="s">
        <v>5</v>
      </c>
      <c r="C68" s="186" t="s">
        <v>121</v>
      </c>
      <c r="D68" s="166">
        <f>D69+D71+D73</f>
        <v>645332</v>
      </c>
      <c r="E68" s="209">
        <f>E69+E71+E73</f>
        <v>640542.01799999992</v>
      </c>
      <c r="F68" s="259">
        <f>F69+F71+F73</f>
        <v>28386.316000000003</v>
      </c>
      <c r="G68" s="339">
        <f t="shared" si="4"/>
        <v>4.4316087317163327E-2</v>
      </c>
    </row>
    <row r="69" spans="2:7" x14ac:dyDescent="0.25">
      <c r="B69" s="21" t="s">
        <v>12</v>
      </c>
      <c r="C69" s="8" t="s">
        <v>109</v>
      </c>
      <c r="D69" s="201">
        <v>622689</v>
      </c>
      <c r="E69" s="202">
        <v>613671.66599999997</v>
      </c>
      <c r="F69" s="260">
        <v>3940.0590000000002</v>
      </c>
      <c r="G69" s="338">
        <f t="shared" si="4"/>
        <v>6.4204675208191873E-3</v>
      </c>
    </row>
    <row r="70" spans="2:7" x14ac:dyDescent="0.25">
      <c r="B70" s="22" t="s">
        <v>110</v>
      </c>
      <c r="C70" s="4" t="s">
        <v>111</v>
      </c>
      <c r="D70" s="202">
        <v>606222</v>
      </c>
      <c r="E70" s="202">
        <v>595927.43599999999</v>
      </c>
      <c r="F70" s="260"/>
      <c r="G70" s="338">
        <f t="shared" si="4"/>
        <v>0</v>
      </c>
    </row>
    <row r="71" spans="2:7" x14ac:dyDescent="0.25">
      <c r="B71" s="22" t="s">
        <v>14</v>
      </c>
      <c r="C71" s="4" t="s">
        <v>112</v>
      </c>
      <c r="D71" s="202">
        <v>22643</v>
      </c>
      <c r="E71" s="202">
        <v>26870.351999999999</v>
      </c>
      <c r="F71" s="260">
        <v>24446.257000000001</v>
      </c>
      <c r="G71" s="338">
        <f t="shared" si="4"/>
        <v>0.90978551378858019</v>
      </c>
    </row>
    <row r="72" spans="2:7" x14ac:dyDescent="0.25">
      <c r="B72" s="22" t="s">
        <v>113</v>
      </c>
      <c r="C72" s="4" t="s">
        <v>114</v>
      </c>
      <c r="D72" s="202"/>
      <c r="E72" s="202"/>
      <c r="F72" s="260"/>
      <c r="G72" s="338"/>
    </row>
    <row r="73" spans="2:7" x14ac:dyDescent="0.25">
      <c r="B73" s="22" t="s">
        <v>115</v>
      </c>
      <c r="C73" s="4" t="s">
        <v>116</v>
      </c>
      <c r="D73" s="202"/>
      <c r="E73" s="202">
        <f>E74+E75</f>
        <v>0</v>
      </c>
      <c r="F73" s="260">
        <f>F74+F75</f>
        <v>0</v>
      </c>
      <c r="G73" s="338"/>
    </row>
    <row r="74" spans="2:7" x14ac:dyDescent="0.25">
      <c r="B74" s="22" t="s">
        <v>117</v>
      </c>
      <c r="C74" s="4" t="s">
        <v>118</v>
      </c>
      <c r="D74" s="202"/>
      <c r="E74" s="202"/>
      <c r="F74" s="260"/>
      <c r="G74" s="338"/>
    </row>
    <row r="75" spans="2:7" ht="16.5" thickBot="1" x14ac:dyDescent="0.3">
      <c r="B75" s="25" t="s">
        <v>119</v>
      </c>
      <c r="C75" s="10" t="s">
        <v>120</v>
      </c>
      <c r="D75" s="203"/>
      <c r="E75" s="202"/>
      <c r="F75" s="260"/>
      <c r="G75" s="348"/>
    </row>
    <row r="76" spans="2:7" ht="16.5" thickBot="1" x14ac:dyDescent="0.3">
      <c r="B76" s="14" t="s">
        <v>15</v>
      </c>
      <c r="C76" s="9" t="s">
        <v>122</v>
      </c>
      <c r="D76" s="200">
        <f>D54+D68</f>
        <v>1382586.899</v>
      </c>
      <c r="E76" s="209">
        <f>E54+E68</f>
        <v>1421517.219</v>
      </c>
      <c r="F76" s="259">
        <f>F54+F68</f>
        <v>484816.72399999993</v>
      </c>
      <c r="G76" s="339">
        <f t="shared" si="4"/>
        <v>0.34105582227210429</v>
      </c>
    </row>
    <row r="77" spans="2:7" ht="16.5" thickBot="1" x14ac:dyDescent="0.3">
      <c r="B77" s="14" t="s">
        <v>20</v>
      </c>
      <c r="C77" s="9" t="s">
        <v>126</v>
      </c>
      <c r="D77" s="200">
        <f>SUM(D78:D80)</f>
        <v>0</v>
      </c>
      <c r="E77" s="209">
        <f>SUM(E78:E80)</f>
        <v>0</v>
      </c>
      <c r="F77" s="259">
        <f>SUM(F78:F80)</f>
        <v>0</v>
      </c>
      <c r="G77" s="349"/>
    </row>
    <row r="78" spans="2:7" x14ac:dyDescent="0.25">
      <c r="B78" s="21" t="s">
        <v>22</v>
      </c>
      <c r="C78" s="8" t="s">
        <v>123</v>
      </c>
      <c r="D78" s="201"/>
      <c r="E78" s="202"/>
      <c r="F78" s="260"/>
      <c r="G78" s="338"/>
    </row>
    <row r="79" spans="2:7" x14ac:dyDescent="0.25">
      <c r="B79" s="22" t="s">
        <v>26</v>
      </c>
      <c r="C79" s="4" t="s">
        <v>124</v>
      </c>
      <c r="D79" s="202"/>
      <c r="E79" s="202"/>
      <c r="F79" s="260"/>
      <c r="G79" s="338"/>
    </row>
    <row r="80" spans="2:7" ht="16.5" thickBot="1" x14ac:dyDescent="0.3">
      <c r="B80" s="25" t="s">
        <v>27</v>
      </c>
      <c r="C80" s="10" t="s">
        <v>125</v>
      </c>
      <c r="D80" s="203"/>
      <c r="E80" s="202"/>
      <c r="F80" s="260"/>
      <c r="G80" s="338"/>
    </row>
    <row r="81" spans="1:7" ht="16.5" thickBot="1" x14ac:dyDescent="0.3">
      <c r="B81" s="28" t="s">
        <v>29</v>
      </c>
      <c r="C81" s="29" t="s">
        <v>127</v>
      </c>
      <c r="D81" s="205"/>
      <c r="E81" s="202"/>
      <c r="F81" s="260"/>
      <c r="G81" s="348"/>
    </row>
    <row r="82" spans="1:7" ht="16.5" thickBot="1" x14ac:dyDescent="0.3">
      <c r="B82" s="14" t="s">
        <v>52</v>
      </c>
      <c r="C82" s="9" t="s">
        <v>130</v>
      </c>
      <c r="D82" s="200">
        <f>D83</f>
        <v>10927.733</v>
      </c>
      <c r="E82" s="209">
        <f>E83</f>
        <v>10927.733</v>
      </c>
      <c r="F82" s="259">
        <f>F83</f>
        <v>10927.733</v>
      </c>
      <c r="G82" s="339">
        <f t="shared" si="4"/>
        <v>1</v>
      </c>
    </row>
    <row r="83" spans="1:7" ht="16.5" thickBot="1" x14ac:dyDescent="0.3">
      <c r="B83" s="26" t="s">
        <v>128</v>
      </c>
      <c r="C83" s="27" t="s">
        <v>129</v>
      </c>
      <c r="D83" s="206">
        <v>10927.733</v>
      </c>
      <c r="E83" s="254">
        <v>10927.733</v>
      </c>
      <c r="F83" s="264">
        <v>10927.733</v>
      </c>
      <c r="G83" s="348">
        <f t="shared" si="4"/>
        <v>1</v>
      </c>
    </row>
    <row r="84" spans="1:7" ht="16.5" thickBot="1" x14ac:dyDescent="0.3">
      <c r="B84" s="14" t="s">
        <v>54</v>
      </c>
      <c r="C84" s="9" t="s">
        <v>131</v>
      </c>
      <c r="D84" s="200"/>
      <c r="E84" s="255"/>
      <c r="F84" s="526"/>
      <c r="G84" s="349"/>
    </row>
    <row r="85" spans="1:7" ht="16.5" thickBot="1" x14ac:dyDescent="0.3">
      <c r="B85" s="14" t="s">
        <v>56</v>
      </c>
      <c r="C85" s="9" t="s">
        <v>132</v>
      </c>
      <c r="D85" s="200"/>
      <c r="E85" s="255"/>
      <c r="F85" s="526"/>
      <c r="G85" s="349"/>
    </row>
    <row r="86" spans="1:7" ht="16.5" thickBot="1" x14ac:dyDescent="0.3">
      <c r="B86" s="14" t="s">
        <v>133</v>
      </c>
      <c r="C86" s="9" t="s">
        <v>134</v>
      </c>
      <c r="D86" s="200"/>
      <c r="E86" s="201"/>
      <c r="F86" s="526"/>
      <c r="G86" s="349"/>
    </row>
    <row r="87" spans="1:7" ht="16.5" thickBot="1" x14ac:dyDescent="0.3">
      <c r="B87" s="14" t="s">
        <v>59</v>
      </c>
      <c r="C87" s="9" t="s">
        <v>135</v>
      </c>
      <c r="D87" s="200">
        <f>D77+D81+D82+D84+D85+D86</f>
        <v>10927.733</v>
      </c>
      <c r="E87" s="209">
        <f>E77+E81+E82+E84+E85+E86</f>
        <v>10927.733</v>
      </c>
      <c r="F87" s="259">
        <f>F77+F81+F82+F84+F85+F86</f>
        <v>10927.733</v>
      </c>
      <c r="G87" s="339">
        <f t="shared" si="4"/>
        <v>1</v>
      </c>
    </row>
    <row r="88" spans="1:7" ht="16.5" thickBot="1" x14ac:dyDescent="0.3">
      <c r="B88" s="14" t="s">
        <v>67</v>
      </c>
      <c r="C88" s="9" t="s">
        <v>136</v>
      </c>
      <c r="D88" s="200">
        <f>D76+D87</f>
        <v>1393514.632</v>
      </c>
      <c r="E88" s="209">
        <f>E76+E87</f>
        <v>1432444.952</v>
      </c>
      <c r="F88" s="259">
        <f>F76+F87</f>
        <v>495744.45699999994</v>
      </c>
      <c r="G88" s="339">
        <f t="shared" si="4"/>
        <v>0.34608272821083591</v>
      </c>
    </row>
    <row r="89" spans="1:7" x14ac:dyDescent="0.25">
      <c r="G89" s="330"/>
    </row>
    <row r="90" spans="1:7" s="30" customFormat="1" ht="29.25" customHeight="1" x14ac:dyDescent="0.25">
      <c r="A90" s="328"/>
      <c r="B90" s="344" t="s">
        <v>141</v>
      </c>
      <c r="C90" s="344"/>
      <c r="D90" s="344"/>
      <c r="E90" s="328"/>
      <c r="F90" s="527"/>
      <c r="G90" s="332"/>
    </row>
    <row r="91" spans="1:7" ht="16.5" thickBot="1" x14ac:dyDescent="0.3">
      <c r="B91" s="18" t="s">
        <v>142</v>
      </c>
      <c r="C91" s="1"/>
      <c r="D91" s="159"/>
      <c r="G91" s="330"/>
    </row>
    <row r="92" spans="1:7" s="328" customFormat="1" ht="32.25" thickBot="1" x14ac:dyDescent="0.3">
      <c r="B92" s="5" t="s">
        <v>3</v>
      </c>
      <c r="C92" s="345" t="s">
        <v>143</v>
      </c>
      <c r="D92" s="346">
        <f>D35-D76</f>
        <v>-447046.0199999999</v>
      </c>
      <c r="E92" s="347">
        <f>E35-E76</f>
        <v>-453686.92299999995</v>
      </c>
      <c r="F92" s="528">
        <f>F35-F76</f>
        <v>276094.71800000011</v>
      </c>
      <c r="G92" s="332"/>
    </row>
    <row r="93" spans="1:7" s="328" customFormat="1" ht="32.25" thickBot="1" x14ac:dyDescent="0.3">
      <c r="B93" s="5" t="s">
        <v>5</v>
      </c>
      <c r="C93" s="345" t="s">
        <v>144</v>
      </c>
      <c r="D93" s="346">
        <f>D48-D87</f>
        <v>447046.02</v>
      </c>
      <c r="E93" s="347">
        <f>E48-E87</f>
        <v>453686.92300000001</v>
      </c>
      <c r="F93" s="528">
        <f>F48-F87</f>
        <v>453686.92300000001</v>
      </c>
      <c r="G93" s="332"/>
    </row>
    <row r="94" spans="1:7" x14ac:dyDescent="0.25">
      <c r="G94" s="330"/>
    </row>
    <row r="95" spans="1:7" x14ac:dyDescent="0.25">
      <c r="G95" s="330"/>
    </row>
    <row r="96" spans="1:7" ht="31.5" x14ac:dyDescent="0.25">
      <c r="C96" s="176" t="s">
        <v>359</v>
      </c>
      <c r="E96" s="487" t="s">
        <v>388</v>
      </c>
      <c r="G96" s="330"/>
    </row>
    <row r="97" spans="3:7" x14ac:dyDescent="0.25">
      <c r="C97" s="2" t="s">
        <v>0</v>
      </c>
      <c r="G97" s="330"/>
    </row>
    <row r="98" spans="3:7" x14ac:dyDescent="0.25">
      <c r="C98" s="2" t="s">
        <v>360</v>
      </c>
      <c r="E98" s="511" t="s">
        <v>529</v>
      </c>
      <c r="G98" s="330"/>
    </row>
    <row r="99" spans="3:7" x14ac:dyDescent="0.25">
      <c r="C99" s="2" t="s">
        <v>368</v>
      </c>
      <c r="E99" s="511" t="s">
        <v>529</v>
      </c>
      <c r="G99" s="330"/>
    </row>
    <row r="100" spans="3:7" x14ac:dyDescent="0.25">
      <c r="C100" s="2" t="s">
        <v>533</v>
      </c>
      <c r="E100" s="511" t="s">
        <v>534</v>
      </c>
      <c r="G100" s="330"/>
    </row>
    <row r="101" spans="3:7" x14ac:dyDescent="0.25">
      <c r="C101" s="2" t="s">
        <v>369</v>
      </c>
      <c r="E101" s="511" t="s">
        <v>530</v>
      </c>
      <c r="G101" s="330"/>
    </row>
    <row r="102" spans="3:7" x14ac:dyDescent="0.25">
      <c r="C102" s="2" t="s">
        <v>516</v>
      </c>
      <c r="E102" s="511">
        <v>75.23</v>
      </c>
      <c r="G102" s="330"/>
    </row>
    <row r="103" spans="3:7" x14ac:dyDescent="0.25">
      <c r="E103" s="511"/>
      <c r="G103" s="330"/>
    </row>
    <row r="104" spans="3:7" x14ac:dyDescent="0.25">
      <c r="C104" s="2" t="s">
        <v>361</v>
      </c>
      <c r="E104" s="511"/>
      <c r="G104" s="330"/>
    </row>
    <row r="105" spans="3:7" x14ac:dyDescent="0.25">
      <c r="C105" s="2" t="s">
        <v>367</v>
      </c>
      <c r="E105" s="511" t="s">
        <v>563</v>
      </c>
      <c r="G105" s="330"/>
    </row>
    <row r="106" spans="3:7" x14ac:dyDescent="0.25">
      <c r="C106" s="2" t="s">
        <v>362</v>
      </c>
      <c r="E106" s="511" t="s">
        <v>529</v>
      </c>
      <c r="G106" s="330"/>
    </row>
    <row r="107" spans="3:7" x14ac:dyDescent="0.25">
      <c r="E107" s="511"/>
      <c r="G107" s="330"/>
    </row>
    <row r="108" spans="3:7" x14ac:dyDescent="0.25">
      <c r="C108" s="2" t="s">
        <v>363</v>
      </c>
      <c r="E108" s="511"/>
      <c r="G108" s="330"/>
    </row>
    <row r="109" spans="3:7" x14ac:dyDescent="0.25">
      <c r="C109" s="2" t="s">
        <v>531</v>
      </c>
      <c r="E109" s="511" t="s">
        <v>564</v>
      </c>
      <c r="G109" s="330"/>
    </row>
    <row r="110" spans="3:7" x14ac:dyDescent="0.25">
      <c r="E110" s="511"/>
      <c r="G110" s="330"/>
    </row>
    <row r="111" spans="3:7" x14ac:dyDescent="0.25">
      <c r="C111" s="2" t="s">
        <v>364</v>
      </c>
      <c r="E111" s="511"/>
      <c r="G111" s="330"/>
    </row>
    <row r="112" spans="3:7" x14ac:dyDescent="0.25">
      <c r="C112" s="2" t="s">
        <v>365</v>
      </c>
      <c r="E112" s="511" t="s">
        <v>565</v>
      </c>
      <c r="G112" s="330"/>
    </row>
    <row r="113" spans="3:7" x14ac:dyDescent="0.25">
      <c r="E113" s="511"/>
      <c r="G113" s="330"/>
    </row>
    <row r="114" spans="3:7" x14ac:dyDescent="0.25">
      <c r="C114" s="2" t="s">
        <v>366</v>
      </c>
      <c r="E114" s="511"/>
      <c r="G114" s="330"/>
    </row>
    <row r="115" spans="3:7" x14ac:dyDescent="0.25">
      <c r="C115" s="2" t="s">
        <v>532</v>
      </c>
      <c r="E115" s="511" t="s">
        <v>566</v>
      </c>
      <c r="G115" s="330"/>
    </row>
    <row r="116" spans="3:7" x14ac:dyDescent="0.25">
      <c r="C116" s="2" t="s">
        <v>567</v>
      </c>
      <c r="E116" s="532" t="s">
        <v>568</v>
      </c>
      <c r="G116" s="330"/>
    </row>
    <row r="117" spans="3:7" x14ac:dyDescent="0.25">
      <c r="E117" s="511"/>
      <c r="G117" s="330"/>
    </row>
    <row r="118" spans="3:7" x14ac:dyDescent="0.25">
      <c r="C118" s="2" t="s">
        <v>535</v>
      </c>
      <c r="E118" s="511" t="s">
        <v>569</v>
      </c>
      <c r="G118" s="330"/>
    </row>
    <row r="119" spans="3:7" x14ac:dyDescent="0.25">
      <c r="G119" s="330"/>
    </row>
    <row r="120" spans="3:7" x14ac:dyDescent="0.25">
      <c r="G120" s="330"/>
    </row>
    <row r="121" spans="3:7" x14ac:dyDescent="0.25">
      <c r="G121" s="330"/>
    </row>
    <row r="122" spans="3:7" x14ac:dyDescent="0.25">
      <c r="G122" s="330"/>
    </row>
    <row r="123" spans="3:7" x14ac:dyDescent="0.25">
      <c r="G123" s="330"/>
    </row>
    <row r="124" spans="3:7" x14ac:dyDescent="0.25">
      <c r="G124" s="330"/>
    </row>
    <row r="125" spans="3:7" x14ac:dyDescent="0.25">
      <c r="G125" s="330"/>
    </row>
    <row r="126" spans="3:7" x14ac:dyDescent="0.25">
      <c r="G126" s="330"/>
    </row>
    <row r="127" spans="3:7" x14ac:dyDescent="0.25">
      <c r="G127" s="330"/>
    </row>
    <row r="128" spans="3:7" x14ac:dyDescent="0.25">
      <c r="G128" s="330"/>
    </row>
    <row r="129" spans="7:7" x14ac:dyDescent="0.25">
      <c r="G129" s="330"/>
    </row>
    <row r="130" spans="7:7" x14ac:dyDescent="0.25">
      <c r="G130" s="330"/>
    </row>
    <row r="131" spans="7:7" x14ac:dyDescent="0.25">
      <c r="G131" s="330"/>
    </row>
    <row r="132" spans="7:7" x14ac:dyDescent="0.25">
      <c r="G132" s="330"/>
    </row>
    <row r="133" spans="7:7" x14ac:dyDescent="0.25">
      <c r="G133" s="330"/>
    </row>
    <row r="134" spans="7:7" x14ac:dyDescent="0.25">
      <c r="G134" s="330"/>
    </row>
    <row r="135" spans="7:7" x14ac:dyDescent="0.25">
      <c r="G135" s="330"/>
    </row>
    <row r="136" spans="7:7" x14ac:dyDescent="0.25">
      <c r="G136" s="330"/>
    </row>
    <row r="137" spans="7:7" x14ac:dyDescent="0.25">
      <c r="G137" s="330"/>
    </row>
    <row r="138" spans="7:7" x14ac:dyDescent="0.25">
      <c r="G138" s="330"/>
    </row>
    <row r="139" spans="7:7" x14ac:dyDescent="0.25">
      <c r="G139" s="330"/>
    </row>
    <row r="140" spans="7:7" x14ac:dyDescent="0.25">
      <c r="G140" s="330"/>
    </row>
    <row r="141" spans="7:7" x14ac:dyDescent="0.25">
      <c r="G141" s="330"/>
    </row>
    <row r="142" spans="7:7" x14ac:dyDescent="0.25">
      <c r="G142" s="330"/>
    </row>
    <row r="143" spans="7:7" x14ac:dyDescent="0.25">
      <c r="G143" s="330"/>
    </row>
    <row r="144" spans="7:7" x14ac:dyDescent="0.25">
      <c r="G144" s="330"/>
    </row>
    <row r="145" spans="7:7" x14ac:dyDescent="0.25">
      <c r="G145" s="330"/>
    </row>
    <row r="146" spans="7:7" x14ac:dyDescent="0.25">
      <c r="G146" s="330"/>
    </row>
    <row r="147" spans="7:7" x14ac:dyDescent="0.25">
      <c r="G147" s="330"/>
    </row>
    <row r="148" spans="7:7" x14ac:dyDescent="0.25">
      <c r="G148" s="330"/>
    </row>
    <row r="149" spans="7:7" x14ac:dyDescent="0.25">
      <c r="G149" s="330"/>
    </row>
    <row r="150" spans="7:7" x14ac:dyDescent="0.25">
      <c r="G150" s="330"/>
    </row>
    <row r="151" spans="7:7" x14ac:dyDescent="0.25">
      <c r="G151" s="330"/>
    </row>
    <row r="152" spans="7:7" x14ac:dyDescent="0.25">
      <c r="G152" s="330"/>
    </row>
    <row r="153" spans="7:7" x14ac:dyDescent="0.25">
      <c r="G153" s="330"/>
    </row>
    <row r="154" spans="7:7" x14ac:dyDescent="0.25">
      <c r="G154" s="330"/>
    </row>
    <row r="155" spans="7:7" x14ac:dyDescent="0.25">
      <c r="G155" s="330"/>
    </row>
    <row r="156" spans="7:7" x14ac:dyDescent="0.25">
      <c r="G156" s="330"/>
    </row>
    <row r="157" spans="7:7" x14ac:dyDescent="0.25">
      <c r="G157" s="330"/>
    </row>
    <row r="158" spans="7:7" x14ac:dyDescent="0.25">
      <c r="G158" s="330"/>
    </row>
    <row r="159" spans="7:7" x14ac:dyDescent="0.25">
      <c r="G159" s="330"/>
    </row>
    <row r="160" spans="7:7" x14ac:dyDescent="0.25">
      <c r="G160" s="330"/>
    </row>
    <row r="161" spans="7:7" x14ac:dyDescent="0.25">
      <c r="G161" s="330"/>
    </row>
    <row r="162" spans="7:7" x14ac:dyDescent="0.25">
      <c r="G162" s="330"/>
    </row>
    <row r="163" spans="7:7" x14ac:dyDescent="0.25">
      <c r="G163" s="330"/>
    </row>
    <row r="164" spans="7:7" x14ac:dyDescent="0.25">
      <c r="G164" s="330"/>
    </row>
    <row r="165" spans="7:7" x14ac:dyDescent="0.25">
      <c r="G165" s="330"/>
    </row>
    <row r="166" spans="7:7" x14ac:dyDescent="0.25">
      <c r="G166" s="330"/>
    </row>
    <row r="167" spans="7:7" x14ac:dyDescent="0.25">
      <c r="G167" s="330"/>
    </row>
    <row r="168" spans="7:7" x14ac:dyDescent="0.25">
      <c r="G168" s="330"/>
    </row>
    <row r="169" spans="7:7" x14ac:dyDescent="0.25">
      <c r="G169" s="330"/>
    </row>
    <row r="170" spans="7:7" x14ac:dyDescent="0.25">
      <c r="G170" s="330"/>
    </row>
    <row r="171" spans="7:7" x14ac:dyDescent="0.25">
      <c r="G171" s="330"/>
    </row>
    <row r="172" spans="7:7" x14ac:dyDescent="0.25">
      <c r="G172" s="330"/>
    </row>
  </sheetData>
  <mergeCells count="6">
    <mergeCell ref="A51:G51"/>
    <mergeCell ref="B1:E1"/>
    <mergeCell ref="A2:G2"/>
    <mergeCell ref="A3:G3"/>
    <mergeCell ref="A4:G4"/>
    <mergeCell ref="A5:G5"/>
  </mergeCells>
  <pageMargins left="0.70866141732283461" right="0.70866141732283461" top="0.74803149606299213" bottom="0.74803149606299213" header="0.31496062992125984" footer="0.31496062992125984"/>
  <pageSetup paperSize="9" scale="63" fitToHeight="2" orientation="portrait" r:id="rId1"/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7"/>
  <sheetViews>
    <sheetView view="pageBreakPreview" topLeftCell="C1" zoomScaleNormal="100" zoomScaleSheetLayoutView="100" workbookViewId="0">
      <selection activeCell="W5" sqref="W5"/>
    </sheetView>
  </sheetViews>
  <sheetFormatPr defaultRowHeight="15" x14ac:dyDescent="0.25"/>
  <cols>
    <col min="1" max="1" width="5.28515625" style="58" customWidth="1"/>
    <col min="2" max="2" width="13.28515625" style="58" customWidth="1"/>
    <col min="3" max="3" width="35.140625" style="58" customWidth="1"/>
    <col min="4" max="4" width="10.5703125" style="58" bestFit="1" customWidth="1"/>
    <col min="5" max="6" width="8.42578125" style="58" bestFit="1" customWidth="1"/>
    <col min="7" max="7" width="10.5703125" style="58" bestFit="1" customWidth="1"/>
    <col min="8" max="8" width="7.85546875" style="58" bestFit="1" customWidth="1"/>
    <col min="9" max="9" width="6.140625" style="58" bestFit="1" customWidth="1"/>
    <col min="10" max="10" width="10.5703125" style="58" bestFit="1" customWidth="1"/>
    <col min="11" max="11" width="7.85546875" style="58" bestFit="1" customWidth="1"/>
    <col min="12" max="12" width="6.140625" style="58" bestFit="1" customWidth="1"/>
    <col min="13" max="13" width="10.5703125" style="58" bestFit="1" customWidth="1"/>
    <col min="14" max="14" width="7.85546875" style="58" bestFit="1" customWidth="1"/>
    <col min="15" max="15" width="6.140625" style="58" bestFit="1" customWidth="1"/>
    <col min="16" max="16" width="10.5703125" style="58" bestFit="1" customWidth="1"/>
    <col min="17" max="17" width="7.85546875" style="58" bestFit="1" customWidth="1"/>
    <col min="18" max="18" width="6.140625" style="58" bestFit="1" customWidth="1"/>
    <col min="19" max="19" width="10.5703125" style="58" bestFit="1" customWidth="1"/>
    <col min="20" max="20" width="7.85546875" style="58" bestFit="1" customWidth="1"/>
    <col min="21" max="21" width="6.140625" style="58" bestFit="1" customWidth="1"/>
    <col min="22" max="24" width="11.28515625" style="58" bestFit="1" customWidth="1"/>
    <col min="25" max="25" width="11.42578125" style="58" customWidth="1"/>
    <col min="26" max="27" width="11.28515625" style="58" bestFit="1" customWidth="1"/>
    <col min="28" max="16384" width="9.140625" style="58"/>
  </cols>
  <sheetData>
    <row r="1" spans="1:28" x14ac:dyDescent="0.25">
      <c r="P1" s="575" t="s">
        <v>418</v>
      </c>
      <c r="Q1" s="575"/>
      <c r="R1" s="575"/>
      <c r="S1" s="576"/>
      <c r="T1" s="576"/>
      <c r="U1" s="576"/>
      <c r="V1" s="576"/>
      <c r="W1" s="576"/>
      <c r="X1" s="576"/>
      <c r="Y1" s="576"/>
    </row>
    <row r="2" spans="1:28" ht="54.75" customHeight="1" x14ac:dyDescent="0.25">
      <c r="A2" s="56">
        <v>1</v>
      </c>
      <c r="B2" s="56"/>
      <c r="C2" s="577" t="s">
        <v>543</v>
      </c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9"/>
    </row>
    <row r="3" spans="1:28" ht="84" customHeight="1" x14ac:dyDescent="0.25">
      <c r="A3" s="56">
        <v>2</v>
      </c>
      <c r="B3" s="62" t="s">
        <v>255</v>
      </c>
      <c r="C3" s="63" t="s">
        <v>199</v>
      </c>
      <c r="D3" s="564" t="s">
        <v>159</v>
      </c>
      <c r="E3" s="565"/>
      <c r="F3" s="566"/>
      <c r="G3" s="564" t="s">
        <v>158</v>
      </c>
      <c r="H3" s="565"/>
      <c r="I3" s="566"/>
      <c r="J3" s="564" t="s">
        <v>201</v>
      </c>
      <c r="K3" s="565"/>
      <c r="L3" s="566"/>
      <c r="M3" s="564" t="s">
        <v>202</v>
      </c>
      <c r="N3" s="565"/>
      <c r="O3" s="566"/>
      <c r="P3" s="564" t="s">
        <v>203</v>
      </c>
      <c r="Q3" s="565"/>
      <c r="R3" s="566"/>
      <c r="S3" s="564" t="s">
        <v>248</v>
      </c>
      <c r="T3" s="565"/>
      <c r="U3" s="566"/>
      <c r="V3" s="564" t="s">
        <v>249</v>
      </c>
      <c r="W3" s="565"/>
      <c r="X3" s="566"/>
      <c r="Y3" s="572" t="s">
        <v>205</v>
      </c>
      <c r="Z3" s="573"/>
      <c r="AA3" s="573"/>
      <c r="AB3" s="574"/>
    </row>
    <row r="4" spans="1:28" s="69" customFormat="1" ht="28.5" x14ac:dyDescent="0.25">
      <c r="A4" s="190">
        <v>3</v>
      </c>
      <c r="B4" s="82"/>
      <c r="C4" s="63" t="s">
        <v>250</v>
      </c>
      <c r="D4" s="64" t="s">
        <v>410</v>
      </c>
      <c r="E4" s="100" t="s">
        <v>406</v>
      </c>
      <c r="F4" s="100" t="s">
        <v>416</v>
      </c>
      <c r="G4" s="64" t="s">
        <v>410</v>
      </c>
      <c r="H4" s="100" t="s">
        <v>406</v>
      </c>
      <c r="I4" s="100" t="s">
        <v>416</v>
      </c>
      <c r="J4" s="64" t="s">
        <v>410</v>
      </c>
      <c r="K4" s="100" t="s">
        <v>406</v>
      </c>
      <c r="L4" s="100" t="s">
        <v>416</v>
      </c>
      <c r="M4" s="64" t="s">
        <v>410</v>
      </c>
      <c r="N4" s="100" t="s">
        <v>406</v>
      </c>
      <c r="O4" s="100" t="s">
        <v>416</v>
      </c>
      <c r="P4" s="64" t="s">
        <v>410</v>
      </c>
      <c r="Q4" s="100" t="s">
        <v>406</v>
      </c>
      <c r="R4" s="100" t="s">
        <v>416</v>
      </c>
      <c r="S4" s="64" t="s">
        <v>410</v>
      </c>
      <c r="T4" s="100" t="s">
        <v>406</v>
      </c>
      <c r="U4" s="100" t="s">
        <v>416</v>
      </c>
      <c r="V4" s="64" t="s">
        <v>410</v>
      </c>
      <c r="W4" s="100" t="s">
        <v>406</v>
      </c>
      <c r="X4" s="100" t="s">
        <v>416</v>
      </c>
      <c r="Y4" s="64" t="s">
        <v>410</v>
      </c>
      <c r="Z4" s="100" t="s">
        <v>406</v>
      </c>
      <c r="AA4" s="100" t="s">
        <v>416</v>
      </c>
      <c r="AB4" s="100" t="s">
        <v>417</v>
      </c>
    </row>
    <row r="5" spans="1:28" x14ac:dyDescent="0.25">
      <c r="A5" s="56">
        <v>4</v>
      </c>
      <c r="B5" s="65" t="s">
        <v>207</v>
      </c>
      <c r="C5" s="66" t="s">
        <v>266</v>
      </c>
      <c r="D5" s="155">
        <v>305.10000000000002</v>
      </c>
      <c r="E5" s="155">
        <v>305.10000000000002</v>
      </c>
      <c r="F5" s="155">
        <v>305.29899999999998</v>
      </c>
      <c r="G5" s="155"/>
      <c r="H5" s="155"/>
      <c r="I5" s="155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7">
        <v>97092.9</v>
      </c>
      <c r="W5" s="217">
        <v>97549.557000000001</v>
      </c>
      <c r="X5" s="217">
        <v>67450.64</v>
      </c>
      <c r="Y5" s="148">
        <f t="shared" ref="Y5:AA7" si="0">D5+G5+J5+M5+P5+S5+V5</f>
        <v>97398</v>
      </c>
      <c r="Z5" s="148">
        <f t="shared" si="0"/>
        <v>97854.657000000007</v>
      </c>
      <c r="AA5" s="148">
        <f>F5+I5+L5+O5+R5+U5+X5</f>
        <v>67755.938999999998</v>
      </c>
      <c r="AB5" s="279">
        <f>AA5/Z5</f>
        <v>0.69241404627272873</v>
      </c>
    </row>
    <row r="6" spans="1:28" x14ac:dyDescent="0.25">
      <c r="A6" s="56">
        <v>5</v>
      </c>
      <c r="B6" s="65" t="s">
        <v>213</v>
      </c>
      <c r="C6" s="66" t="s">
        <v>267</v>
      </c>
      <c r="D6" s="155"/>
      <c r="E6" s="155"/>
      <c r="F6" s="155"/>
      <c r="G6" s="155"/>
      <c r="H6" s="155"/>
      <c r="I6" s="155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>
        <v>170</v>
      </c>
      <c r="W6" s="217">
        <v>170</v>
      </c>
      <c r="X6" s="217"/>
      <c r="Y6" s="148">
        <f t="shared" si="0"/>
        <v>170</v>
      </c>
      <c r="Z6" s="148">
        <f t="shared" si="0"/>
        <v>170</v>
      </c>
      <c r="AA6" s="148">
        <f t="shared" si="0"/>
        <v>0</v>
      </c>
      <c r="AB6" s="279">
        <f t="shared" ref="AB6:AB9" si="1">AA6/Z6</f>
        <v>0</v>
      </c>
    </row>
    <row r="7" spans="1:28" s="69" customFormat="1" x14ac:dyDescent="0.25">
      <c r="A7" s="56">
        <v>6</v>
      </c>
      <c r="B7" s="67"/>
      <c r="C7" s="68" t="s">
        <v>253</v>
      </c>
      <c r="D7" s="218">
        <f t="shared" ref="D7:S7" si="2">SUM(D5:D6)</f>
        <v>305.10000000000002</v>
      </c>
      <c r="E7" s="218">
        <f t="shared" ref="E7:F7" si="3">SUM(E5:E6)</f>
        <v>305.10000000000002</v>
      </c>
      <c r="F7" s="218">
        <f t="shared" si="3"/>
        <v>305.29899999999998</v>
      </c>
      <c r="G7" s="218">
        <f t="shared" si="2"/>
        <v>0</v>
      </c>
      <c r="H7" s="218">
        <f t="shared" ref="H7:I7" si="4">SUM(H5:H6)</f>
        <v>0</v>
      </c>
      <c r="I7" s="218">
        <f t="shared" si="4"/>
        <v>0</v>
      </c>
      <c r="J7" s="218">
        <f t="shared" si="2"/>
        <v>0</v>
      </c>
      <c r="K7" s="218">
        <f t="shared" ref="K7:L7" si="5">SUM(K5:K6)</f>
        <v>0</v>
      </c>
      <c r="L7" s="218">
        <f t="shared" si="5"/>
        <v>0</v>
      </c>
      <c r="M7" s="218">
        <f t="shared" si="2"/>
        <v>0</v>
      </c>
      <c r="N7" s="218">
        <f t="shared" ref="N7:O7" si="6">SUM(N5:N6)</f>
        <v>0</v>
      </c>
      <c r="O7" s="218">
        <f t="shared" si="6"/>
        <v>0</v>
      </c>
      <c r="P7" s="218">
        <f t="shared" si="2"/>
        <v>0</v>
      </c>
      <c r="Q7" s="218">
        <f t="shared" ref="Q7:R7" si="7">SUM(Q5:Q6)</f>
        <v>0</v>
      </c>
      <c r="R7" s="218">
        <f t="shared" si="7"/>
        <v>0</v>
      </c>
      <c r="S7" s="218">
        <f t="shared" si="2"/>
        <v>0</v>
      </c>
      <c r="T7" s="218">
        <f t="shared" ref="T7:U7" si="8">SUM(T5:T6)</f>
        <v>0</v>
      </c>
      <c r="U7" s="218">
        <f t="shared" si="8"/>
        <v>0</v>
      </c>
      <c r="V7" s="219">
        <f>SUM(V5:V6)</f>
        <v>97262.9</v>
      </c>
      <c r="W7" s="219">
        <f>SUM(W5:W6)</f>
        <v>97719.557000000001</v>
      </c>
      <c r="X7" s="219">
        <f>SUM(X5:X6)</f>
        <v>67450.64</v>
      </c>
      <c r="Y7" s="148">
        <f t="shared" si="0"/>
        <v>97568</v>
      </c>
      <c r="Z7" s="148">
        <f t="shared" si="0"/>
        <v>98024.657000000007</v>
      </c>
      <c r="AA7" s="148">
        <f t="shared" si="0"/>
        <v>67755.938999999998</v>
      </c>
      <c r="AB7" s="278">
        <f t="shared" si="1"/>
        <v>0.69121322199576785</v>
      </c>
    </row>
    <row r="8" spans="1:28" x14ac:dyDescent="0.25">
      <c r="A8" s="56">
        <v>7</v>
      </c>
      <c r="B8" s="65"/>
      <c r="C8" s="66" t="s">
        <v>238</v>
      </c>
      <c r="D8" s="156">
        <f t="shared" ref="D8:Z8" si="9">SUMIF($B5:$B6,"kötelező",D5:D6)</f>
        <v>305.10000000000002</v>
      </c>
      <c r="E8" s="156">
        <f t="shared" ref="E8:F8" si="10">SUMIF($B5:$B6,"kötelező",E5:E6)</f>
        <v>305.10000000000002</v>
      </c>
      <c r="F8" s="156">
        <f t="shared" si="10"/>
        <v>305.29899999999998</v>
      </c>
      <c r="G8" s="156">
        <f t="shared" si="9"/>
        <v>0</v>
      </c>
      <c r="H8" s="156">
        <f t="shared" ref="H8:I8" si="11">SUMIF($B5:$B6,"kötelező",H5:H6)</f>
        <v>0</v>
      </c>
      <c r="I8" s="156">
        <f t="shared" si="11"/>
        <v>0</v>
      </c>
      <c r="J8" s="156">
        <f t="shared" si="9"/>
        <v>0</v>
      </c>
      <c r="K8" s="156">
        <f t="shared" ref="K8:L8" si="12">SUMIF($B5:$B6,"kötelező",K5:K6)</f>
        <v>0</v>
      </c>
      <c r="L8" s="156">
        <f t="shared" si="12"/>
        <v>0</v>
      </c>
      <c r="M8" s="156">
        <f t="shared" si="9"/>
        <v>0</v>
      </c>
      <c r="N8" s="156">
        <f t="shared" ref="N8:O8" si="13">SUMIF($B5:$B6,"kötelező",N5:N6)</f>
        <v>0</v>
      </c>
      <c r="O8" s="156">
        <f t="shared" si="13"/>
        <v>0</v>
      </c>
      <c r="P8" s="156">
        <f t="shared" si="9"/>
        <v>0</v>
      </c>
      <c r="Q8" s="156">
        <f t="shared" ref="Q8:R8" si="14">SUMIF($B5:$B6,"kötelező",Q5:Q6)</f>
        <v>0</v>
      </c>
      <c r="R8" s="156">
        <f t="shared" si="14"/>
        <v>0</v>
      </c>
      <c r="S8" s="156">
        <f t="shared" si="9"/>
        <v>0</v>
      </c>
      <c r="T8" s="156">
        <f t="shared" ref="T8:U8" si="15">SUMIF($B5:$B6,"kötelező",T5:T6)</f>
        <v>0</v>
      </c>
      <c r="U8" s="156">
        <f t="shared" si="15"/>
        <v>0</v>
      </c>
      <c r="V8" s="156">
        <f t="shared" si="9"/>
        <v>97092.9</v>
      </c>
      <c r="W8" s="156">
        <f t="shared" si="9"/>
        <v>97549.557000000001</v>
      </c>
      <c r="X8" s="156">
        <f t="shared" ref="X8" si="16">SUMIF($B5:$B6,"kötelező",X5:X6)</f>
        <v>67450.64</v>
      </c>
      <c r="Y8" s="156">
        <f t="shared" si="9"/>
        <v>97398</v>
      </c>
      <c r="Z8" s="156">
        <f t="shared" si="9"/>
        <v>97854.657000000007</v>
      </c>
      <c r="AA8" s="156">
        <f t="shared" ref="AA8" si="17">SUMIF($B5:$B6,"kötelező",AA5:AA6)</f>
        <v>67755.938999999998</v>
      </c>
      <c r="AB8" s="274">
        <f t="shared" si="1"/>
        <v>0.69241404627272873</v>
      </c>
    </row>
    <row r="9" spans="1:28" x14ac:dyDescent="0.25">
      <c r="A9" s="56">
        <v>8</v>
      </c>
      <c r="B9" s="65"/>
      <c r="C9" s="66" t="s">
        <v>239</v>
      </c>
      <c r="D9" s="156">
        <f t="shared" ref="D9:Z9" si="18">SUMIF($B5:$B6,"nem kötelező",D5:D6)</f>
        <v>0</v>
      </c>
      <c r="E9" s="156">
        <f t="shared" ref="E9:F9" si="19">SUMIF($B5:$B6,"nem kötelező",E5:E6)</f>
        <v>0</v>
      </c>
      <c r="F9" s="156">
        <f t="shared" si="19"/>
        <v>0</v>
      </c>
      <c r="G9" s="156">
        <f t="shared" si="18"/>
        <v>0</v>
      </c>
      <c r="H9" s="156">
        <f t="shared" ref="H9:I9" si="20">SUMIF($B5:$B6,"nem kötelező",H5:H6)</f>
        <v>0</v>
      </c>
      <c r="I9" s="156">
        <f t="shared" si="20"/>
        <v>0</v>
      </c>
      <c r="J9" s="156">
        <f t="shared" si="18"/>
        <v>0</v>
      </c>
      <c r="K9" s="156">
        <f t="shared" ref="K9:L9" si="21">SUMIF($B5:$B6,"nem kötelező",K5:K6)</f>
        <v>0</v>
      </c>
      <c r="L9" s="156">
        <f t="shared" si="21"/>
        <v>0</v>
      </c>
      <c r="M9" s="156">
        <f t="shared" si="18"/>
        <v>0</v>
      </c>
      <c r="N9" s="156">
        <f t="shared" ref="N9:O9" si="22">SUMIF($B5:$B6,"nem kötelező",N5:N6)</f>
        <v>0</v>
      </c>
      <c r="O9" s="156">
        <f t="shared" si="22"/>
        <v>0</v>
      </c>
      <c r="P9" s="156">
        <f t="shared" si="18"/>
        <v>0</v>
      </c>
      <c r="Q9" s="156">
        <f t="shared" ref="Q9:R9" si="23">SUMIF($B5:$B6,"nem kötelező",Q5:Q6)</f>
        <v>0</v>
      </c>
      <c r="R9" s="156">
        <f t="shared" si="23"/>
        <v>0</v>
      </c>
      <c r="S9" s="156">
        <f t="shared" si="18"/>
        <v>0</v>
      </c>
      <c r="T9" s="156">
        <f t="shared" ref="T9:U9" si="24">SUMIF($B5:$B6,"nem kötelező",T5:T6)</f>
        <v>0</v>
      </c>
      <c r="U9" s="156">
        <f t="shared" si="24"/>
        <v>0</v>
      </c>
      <c r="V9" s="156">
        <f t="shared" si="18"/>
        <v>170</v>
      </c>
      <c r="W9" s="156">
        <f t="shared" si="18"/>
        <v>170</v>
      </c>
      <c r="X9" s="156">
        <f t="shared" ref="X9" si="25">SUMIF($B5:$B6,"nem kötelező",X5:X6)</f>
        <v>0</v>
      </c>
      <c r="Y9" s="156">
        <f t="shared" si="18"/>
        <v>170</v>
      </c>
      <c r="Z9" s="156">
        <f t="shared" si="18"/>
        <v>170</v>
      </c>
      <c r="AA9" s="156">
        <f t="shared" ref="AA9" si="26">SUMIF($B5:$B6,"nem kötelező",AA5:AA6)</f>
        <v>0</v>
      </c>
      <c r="AB9" s="274">
        <f t="shared" si="1"/>
        <v>0</v>
      </c>
    </row>
    <row r="10" spans="1:28" x14ac:dyDescent="0.25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7" spans="7:7" x14ac:dyDescent="0.25">
      <c r="G17" s="58" t="s">
        <v>268</v>
      </c>
    </row>
  </sheetData>
  <mergeCells count="10">
    <mergeCell ref="S3:U3"/>
    <mergeCell ref="V3:X3"/>
    <mergeCell ref="Y3:AB3"/>
    <mergeCell ref="P1:Y1"/>
    <mergeCell ref="C2:AB2"/>
    <mergeCell ref="D3:F3"/>
    <mergeCell ref="G3:I3"/>
    <mergeCell ref="J3:L3"/>
    <mergeCell ref="M3:O3"/>
    <mergeCell ref="P3:R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6"/>
  <sheetViews>
    <sheetView view="pageBreakPreview" zoomScaleNormal="100" zoomScaleSheetLayoutView="10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T27" sqref="T27"/>
    </sheetView>
  </sheetViews>
  <sheetFormatPr defaultRowHeight="15" x14ac:dyDescent="0.25"/>
  <cols>
    <col min="1" max="1" width="5.28515625" style="54" customWidth="1"/>
    <col min="2" max="2" width="13.28515625" style="54" customWidth="1"/>
    <col min="3" max="3" width="28" style="54" customWidth="1"/>
    <col min="4" max="6" width="10.140625" style="54" bestFit="1" customWidth="1"/>
    <col min="7" max="7" width="9.28515625" style="54" bestFit="1" customWidth="1"/>
    <col min="8" max="8" width="7.140625" style="54" bestFit="1" customWidth="1"/>
    <col min="9" max="9" width="6.140625" style="54" bestFit="1" customWidth="1"/>
    <col min="10" max="12" width="11.28515625" style="54" bestFit="1" customWidth="1"/>
    <col min="13" max="13" width="9.28515625" style="54" bestFit="1" customWidth="1"/>
    <col min="14" max="14" width="7.140625" style="54" bestFit="1" customWidth="1"/>
    <col min="15" max="15" width="6.140625" style="54" bestFit="1" customWidth="1"/>
    <col min="16" max="16" width="9.28515625" style="54" bestFit="1" customWidth="1"/>
    <col min="17" max="18" width="8.42578125" style="54" bestFit="1" customWidth="1"/>
    <col min="19" max="19" width="11.140625" style="54" bestFit="1" customWidth="1"/>
    <col min="20" max="20" width="7.7109375" style="54" bestFit="1" customWidth="1"/>
    <col min="21" max="21" width="7.7109375" style="54" customWidth="1"/>
    <col min="22" max="24" width="11.28515625" style="54" bestFit="1" customWidth="1"/>
    <col min="25" max="27" width="10.140625" style="54" customWidth="1"/>
    <col min="28" max="28" width="12.42578125" style="54" customWidth="1"/>
    <col min="29" max="29" width="12" style="213" bestFit="1" customWidth="1"/>
    <col min="30" max="30" width="11.28515625" style="54" bestFit="1" customWidth="1"/>
    <col min="31" max="16384" width="9.140625" style="54"/>
  </cols>
  <sheetData>
    <row r="1" spans="1:31" x14ac:dyDescent="0.25">
      <c r="S1" s="47"/>
      <c r="T1" s="47"/>
      <c r="U1" s="47"/>
      <c r="V1" s="47"/>
      <c r="W1" s="47"/>
      <c r="X1" s="47"/>
      <c r="Y1" s="47"/>
      <c r="Z1" s="47"/>
      <c r="AA1" s="47"/>
      <c r="AB1" s="95" t="s">
        <v>419</v>
      </c>
    </row>
    <row r="2" spans="1:31" ht="58.5" customHeight="1" x14ac:dyDescent="0.25">
      <c r="A2" s="46">
        <v>1</v>
      </c>
      <c r="B2" s="46"/>
      <c r="C2" s="570" t="s">
        <v>544</v>
      </c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</row>
    <row r="3" spans="1:31" s="173" customFormat="1" ht="57" customHeight="1" x14ac:dyDescent="0.2">
      <c r="A3" s="170">
        <v>2</v>
      </c>
      <c r="B3" s="171" t="s">
        <v>255</v>
      </c>
      <c r="C3" s="172" t="s">
        <v>199</v>
      </c>
      <c r="D3" s="580" t="s">
        <v>159</v>
      </c>
      <c r="E3" s="581"/>
      <c r="F3" s="582"/>
      <c r="G3" s="580" t="s">
        <v>158</v>
      </c>
      <c r="H3" s="581"/>
      <c r="I3" s="582"/>
      <c r="J3" s="580" t="s">
        <v>201</v>
      </c>
      <c r="K3" s="581"/>
      <c r="L3" s="582"/>
      <c r="M3" s="580" t="s">
        <v>202</v>
      </c>
      <c r="N3" s="581"/>
      <c r="O3" s="582"/>
      <c r="P3" s="580" t="s">
        <v>203</v>
      </c>
      <c r="Q3" s="581"/>
      <c r="R3" s="582"/>
      <c r="S3" s="580" t="s">
        <v>248</v>
      </c>
      <c r="T3" s="581"/>
      <c r="U3" s="582"/>
      <c r="V3" s="580" t="s">
        <v>249</v>
      </c>
      <c r="W3" s="581"/>
      <c r="X3" s="582"/>
      <c r="Y3" s="580" t="s">
        <v>330</v>
      </c>
      <c r="Z3" s="581"/>
      <c r="AA3" s="582"/>
      <c r="AB3" s="580" t="s">
        <v>205</v>
      </c>
      <c r="AC3" s="581"/>
      <c r="AD3" s="581"/>
      <c r="AE3" s="582"/>
    </row>
    <row r="4" spans="1:31" s="238" customFormat="1" ht="30" x14ac:dyDescent="0.25">
      <c r="A4" s="236">
        <v>3</v>
      </c>
      <c r="B4" s="239"/>
      <c r="C4" s="237" t="s">
        <v>250</v>
      </c>
      <c r="D4" s="215" t="s">
        <v>413</v>
      </c>
      <c r="E4" s="102" t="s">
        <v>406</v>
      </c>
      <c r="F4" s="102" t="s">
        <v>416</v>
      </c>
      <c r="G4" s="215" t="s">
        <v>413</v>
      </c>
      <c r="H4" s="102" t="s">
        <v>406</v>
      </c>
      <c r="I4" s="102" t="s">
        <v>416</v>
      </c>
      <c r="J4" s="215" t="s">
        <v>413</v>
      </c>
      <c r="K4" s="102" t="s">
        <v>406</v>
      </c>
      <c r="L4" s="102" t="s">
        <v>416</v>
      </c>
      <c r="M4" s="215" t="s">
        <v>413</v>
      </c>
      <c r="N4" s="102" t="s">
        <v>406</v>
      </c>
      <c r="O4" s="102" t="s">
        <v>416</v>
      </c>
      <c r="P4" s="215" t="s">
        <v>413</v>
      </c>
      <c r="Q4" s="102" t="s">
        <v>406</v>
      </c>
      <c r="R4" s="102" t="s">
        <v>416</v>
      </c>
      <c r="S4" s="215" t="s">
        <v>413</v>
      </c>
      <c r="T4" s="102" t="s">
        <v>406</v>
      </c>
      <c r="U4" s="102" t="s">
        <v>416</v>
      </c>
      <c r="V4" s="215" t="s">
        <v>413</v>
      </c>
      <c r="W4" s="102" t="s">
        <v>406</v>
      </c>
      <c r="X4" s="102" t="s">
        <v>416</v>
      </c>
      <c r="Y4" s="215" t="s">
        <v>413</v>
      </c>
      <c r="Z4" s="102" t="s">
        <v>406</v>
      </c>
      <c r="AA4" s="102" t="s">
        <v>416</v>
      </c>
      <c r="AB4" s="215" t="s">
        <v>413</v>
      </c>
      <c r="AC4" s="102" t="s">
        <v>406</v>
      </c>
      <c r="AD4" s="102" t="s">
        <v>416</v>
      </c>
      <c r="AE4" s="102" t="s">
        <v>417</v>
      </c>
    </row>
    <row r="5" spans="1:31" s="58" customFormat="1" x14ac:dyDescent="0.25">
      <c r="A5" s="56">
        <v>4</v>
      </c>
      <c r="B5" s="84" t="s">
        <v>207</v>
      </c>
      <c r="C5" s="85" t="s">
        <v>344</v>
      </c>
      <c r="D5" s="145">
        <v>1330.1</v>
      </c>
      <c r="E5" s="145">
        <v>1330.1</v>
      </c>
      <c r="F5" s="145">
        <v>726.48599999999999</v>
      </c>
      <c r="G5" s="145"/>
      <c r="H5" s="145"/>
      <c r="I5" s="145"/>
      <c r="J5" s="146">
        <v>2004</v>
      </c>
      <c r="K5" s="146">
        <v>2252.1999999999998</v>
      </c>
      <c r="L5" s="146">
        <v>1197.0319999999999</v>
      </c>
      <c r="M5" s="146"/>
      <c r="N5" s="146"/>
      <c r="O5" s="146"/>
      <c r="P5" s="146"/>
      <c r="Q5" s="146"/>
      <c r="R5" s="146"/>
      <c r="S5" s="146"/>
      <c r="T5" s="146"/>
      <c r="U5" s="146"/>
      <c r="V5" s="147">
        <v>12763.9</v>
      </c>
      <c r="W5" s="147">
        <v>13743.816999999999</v>
      </c>
      <c r="X5" s="147">
        <f>9522.686</f>
        <v>9522.6859999999997</v>
      </c>
      <c r="Y5" s="147"/>
      <c r="Z5" s="147">
        <v>8.4</v>
      </c>
      <c r="AA5" s="147">
        <v>8.4</v>
      </c>
      <c r="AB5" s="148">
        <f t="shared" ref="AB5:AB12" si="0">D5+G5+J5+M5+P5+S5+V5</f>
        <v>16098</v>
      </c>
      <c r="AC5" s="214">
        <f>E5+H5+K5+N5+Q5+T5+W5+Z5</f>
        <v>17334.517</v>
      </c>
      <c r="AD5" s="214">
        <f>F5+I5+L5+O5+R5+U5+X5+AA5</f>
        <v>11454.603999999999</v>
      </c>
      <c r="AE5" s="279">
        <f>AD5/AC5</f>
        <v>0.66079741362277356</v>
      </c>
    </row>
    <row r="6" spans="1:31" s="58" customFormat="1" x14ac:dyDescent="0.25">
      <c r="A6" s="56">
        <v>6</v>
      </c>
      <c r="B6" s="84" t="s">
        <v>213</v>
      </c>
      <c r="C6" s="85" t="s">
        <v>345</v>
      </c>
      <c r="D6" s="145"/>
      <c r="E6" s="145"/>
      <c r="F6" s="145"/>
      <c r="G6" s="145"/>
      <c r="H6" s="145"/>
      <c r="I6" s="14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>
        <v>75</v>
      </c>
      <c r="W6" s="147">
        <v>75</v>
      </c>
      <c r="X6" s="147">
        <v>22.23</v>
      </c>
      <c r="Y6" s="147"/>
      <c r="Z6" s="147"/>
      <c r="AA6" s="147"/>
      <c r="AB6" s="148">
        <f t="shared" si="0"/>
        <v>75</v>
      </c>
      <c r="AC6" s="214">
        <f>E6+H6+K6+N6+Q6+T6+W6</f>
        <v>75</v>
      </c>
      <c r="AD6" s="214">
        <f t="shared" ref="AD6:AD12" si="1">F6+I6+L6+O6+R6+U6+X6</f>
        <v>22.23</v>
      </c>
      <c r="AE6" s="279">
        <f t="shared" ref="AE6:AE15" si="2">AD6/AC6</f>
        <v>0.2964</v>
      </c>
    </row>
    <row r="7" spans="1:31" s="58" customFormat="1" x14ac:dyDescent="0.25">
      <c r="A7" s="56">
        <v>7</v>
      </c>
      <c r="B7" s="84" t="s">
        <v>213</v>
      </c>
      <c r="C7" s="85" t="s">
        <v>346</v>
      </c>
      <c r="D7" s="145">
        <v>70</v>
      </c>
      <c r="E7" s="145">
        <v>70</v>
      </c>
      <c r="F7" s="145">
        <v>22.5</v>
      </c>
      <c r="G7" s="145"/>
      <c r="H7" s="145"/>
      <c r="I7" s="145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>
        <v>958</v>
      </c>
      <c r="W7" s="147">
        <v>958</v>
      </c>
      <c r="X7" s="147">
        <v>686.66800000000001</v>
      </c>
      <c r="Y7" s="147"/>
      <c r="Z7" s="147"/>
      <c r="AA7" s="147"/>
      <c r="AB7" s="148">
        <f t="shared" si="0"/>
        <v>1028</v>
      </c>
      <c r="AC7" s="214">
        <f>E7+H7+K7+N7+Q7+T7+W7</f>
        <v>1028</v>
      </c>
      <c r="AD7" s="214">
        <f t="shared" si="1"/>
        <v>709.16800000000001</v>
      </c>
      <c r="AE7" s="279">
        <f t="shared" si="2"/>
        <v>0.68985214007782103</v>
      </c>
    </row>
    <row r="8" spans="1:31" s="58" customFormat="1" x14ac:dyDescent="0.25">
      <c r="A8" s="56">
        <v>8</v>
      </c>
      <c r="B8" s="84" t="s">
        <v>213</v>
      </c>
      <c r="C8" s="85" t="s">
        <v>347</v>
      </c>
      <c r="D8" s="145">
        <v>335</v>
      </c>
      <c r="E8" s="145">
        <v>335</v>
      </c>
      <c r="F8" s="145">
        <v>4</v>
      </c>
      <c r="G8" s="145"/>
      <c r="H8" s="145"/>
      <c r="I8" s="145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>
        <v>2355</v>
      </c>
      <c r="W8" s="147">
        <v>2355</v>
      </c>
      <c r="X8" s="147">
        <f>70.069+1340.577</f>
        <v>1410.646</v>
      </c>
      <c r="Y8" s="147"/>
      <c r="Z8" s="147"/>
      <c r="AA8" s="147"/>
      <c r="AB8" s="148">
        <f t="shared" si="0"/>
        <v>2690</v>
      </c>
      <c r="AC8" s="214">
        <f>E8+H8+K8+N8+Q8+T8+W8</f>
        <v>2690</v>
      </c>
      <c r="AD8" s="214">
        <f t="shared" si="1"/>
        <v>1414.646</v>
      </c>
      <c r="AE8" s="279">
        <f t="shared" si="2"/>
        <v>0.52589070631970258</v>
      </c>
    </row>
    <row r="9" spans="1:31" s="58" customFormat="1" x14ac:dyDescent="0.25">
      <c r="A9" s="56">
        <v>9</v>
      </c>
      <c r="B9" s="84" t="s">
        <v>213</v>
      </c>
      <c r="C9" s="85" t="s">
        <v>449</v>
      </c>
      <c r="D9" s="145"/>
      <c r="E9" s="145"/>
      <c r="F9" s="145"/>
      <c r="G9" s="145"/>
      <c r="H9" s="145"/>
      <c r="I9" s="145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>
        <v>214</v>
      </c>
      <c r="W9" s="147">
        <v>214</v>
      </c>
      <c r="X9" s="147">
        <v>12.88</v>
      </c>
      <c r="Y9" s="147"/>
      <c r="Z9" s="147"/>
      <c r="AA9" s="147"/>
      <c r="AB9" s="148">
        <f t="shared" si="0"/>
        <v>214</v>
      </c>
      <c r="AC9" s="214">
        <f>E9+H9+K9+N9+Q9+T9+W9</f>
        <v>214</v>
      </c>
      <c r="AD9" s="214">
        <f t="shared" si="1"/>
        <v>12.88</v>
      </c>
      <c r="AE9" s="279">
        <f t="shared" si="2"/>
        <v>6.0186915887850474E-2</v>
      </c>
    </row>
    <row r="10" spans="1:31" s="58" customFormat="1" x14ac:dyDescent="0.25">
      <c r="A10" s="56"/>
      <c r="B10" s="84" t="s">
        <v>213</v>
      </c>
      <c r="C10" s="85" t="s">
        <v>450</v>
      </c>
      <c r="D10" s="145"/>
      <c r="E10" s="145"/>
      <c r="F10" s="145">
        <v>8.9999999999999993E-3</v>
      </c>
      <c r="G10" s="145"/>
      <c r="H10" s="145"/>
      <c r="I10" s="145"/>
      <c r="J10" s="146">
        <v>15158</v>
      </c>
      <c r="K10" s="146">
        <v>15158</v>
      </c>
      <c r="L10" s="146">
        <v>15157.98</v>
      </c>
      <c r="M10" s="146"/>
      <c r="N10" s="146"/>
      <c r="O10" s="146"/>
      <c r="P10" s="146"/>
      <c r="Q10" s="146"/>
      <c r="R10" s="146"/>
      <c r="S10" s="146"/>
      <c r="T10" s="146"/>
      <c r="U10" s="146"/>
      <c r="V10" s="147"/>
      <c r="W10" s="147"/>
      <c r="X10" s="147"/>
      <c r="Y10" s="147"/>
      <c r="Z10" s="147"/>
      <c r="AA10" s="147"/>
      <c r="AB10" s="148">
        <f t="shared" si="0"/>
        <v>15158</v>
      </c>
      <c r="AC10" s="214">
        <f t="shared" ref="AC10:AC12" si="3">E10+H10+K10+N10+Q10+T10+W10</f>
        <v>15158</v>
      </c>
      <c r="AD10" s="214">
        <f t="shared" si="1"/>
        <v>15157.989</v>
      </c>
      <c r="AE10" s="279">
        <f t="shared" si="2"/>
        <v>0.99999927431059499</v>
      </c>
    </row>
    <row r="11" spans="1:31" s="58" customFormat="1" x14ac:dyDescent="0.25">
      <c r="A11" s="56"/>
      <c r="B11" s="84" t="s">
        <v>213</v>
      </c>
      <c r="C11" s="85" t="s">
        <v>460</v>
      </c>
      <c r="D11" s="145"/>
      <c r="E11" s="145"/>
      <c r="F11" s="145"/>
      <c r="G11" s="145"/>
      <c r="H11" s="145"/>
      <c r="I11" s="145"/>
      <c r="J11" s="146"/>
      <c r="K11" s="146"/>
      <c r="L11" s="146">
        <v>1683.7919999999999</v>
      </c>
      <c r="M11" s="146"/>
      <c r="N11" s="146"/>
      <c r="O11" s="146"/>
      <c r="P11" s="146"/>
      <c r="Q11" s="146"/>
      <c r="R11" s="146"/>
      <c r="S11" s="146"/>
      <c r="T11" s="146"/>
      <c r="U11" s="146"/>
      <c r="V11" s="147"/>
      <c r="W11" s="147"/>
      <c r="X11" s="147"/>
      <c r="Y11" s="147"/>
      <c r="Z11" s="147"/>
      <c r="AA11" s="147"/>
      <c r="AB11" s="148"/>
      <c r="AC11" s="214"/>
      <c r="AD11" s="214">
        <f t="shared" si="1"/>
        <v>1683.7919999999999</v>
      </c>
      <c r="AE11" s="279"/>
    </row>
    <row r="12" spans="1:31" s="58" customFormat="1" x14ac:dyDescent="0.25">
      <c r="A12" s="56">
        <v>10</v>
      </c>
      <c r="B12" s="84" t="s">
        <v>213</v>
      </c>
      <c r="C12" s="85" t="s">
        <v>348</v>
      </c>
      <c r="D12" s="145">
        <v>3500</v>
      </c>
      <c r="E12" s="145">
        <v>3500</v>
      </c>
      <c r="F12" s="145">
        <v>2539</v>
      </c>
      <c r="G12" s="145"/>
      <c r="H12" s="145"/>
      <c r="I12" s="145"/>
      <c r="J12" s="146"/>
      <c r="K12" s="146"/>
      <c r="L12" s="146"/>
      <c r="M12" s="146"/>
      <c r="N12" s="146"/>
      <c r="O12" s="146"/>
      <c r="P12" s="146">
        <v>210</v>
      </c>
      <c r="Q12" s="146">
        <v>210</v>
      </c>
      <c r="R12" s="146">
        <v>258</v>
      </c>
      <c r="S12" s="146"/>
      <c r="T12" s="146"/>
      <c r="U12" s="146"/>
      <c r="V12" s="147">
        <v>7282</v>
      </c>
      <c r="W12" s="147">
        <v>7282</v>
      </c>
      <c r="X12" s="147">
        <v>6633.2920000000004</v>
      </c>
      <c r="Y12" s="147"/>
      <c r="Z12" s="147"/>
      <c r="AA12" s="147"/>
      <c r="AB12" s="148">
        <f t="shared" si="0"/>
        <v>10992</v>
      </c>
      <c r="AC12" s="214">
        <f t="shared" si="3"/>
        <v>10992</v>
      </c>
      <c r="AD12" s="214">
        <f t="shared" si="1"/>
        <v>9430.2920000000013</v>
      </c>
      <c r="AE12" s="279">
        <f t="shared" si="2"/>
        <v>0.85792321688500739</v>
      </c>
    </row>
    <row r="13" spans="1:31" ht="15.75" x14ac:dyDescent="0.25">
      <c r="A13" s="56">
        <v>11</v>
      </c>
      <c r="B13" s="46"/>
      <c r="C13" s="50" t="s">
        <v>253</v>
      </c>
      <c r="D13" s="152">
        <f>SUM(D5:D12)</f>
        <v>5235.1000000000004</v>
      </c>
      <c r="E13" s="152">
        <f t="shared" ref="E13:AC13" si="4">SUM(E5:E12)</f>
        <v>5235.1000000000004</v>
      </c>
      <c r="F13" s="507">
        <f>SUM(F5:F12)</f>
        <v>3291.9949999999999</v>
      </c>
      <c r="G13" s="152">
        <f t="shared" si="4"/>
        <v>0</v>
      </c>
      <c r="H13" s="152">
        <f t="shared" si="4"/>
        <v>0</v>
      </c>
      <c r="I13" s="152">
        <f t="shared" si="4"/>
        <v>0</v>
      </c>
      <c r="J13" s="152">
        <f t="shared" si="4"/>
        <v>17162</v>
      </c>
      <c r="K13" s="152">
        <f t="shared" si="4"/>
        <v>17410.2</v>
      </c>
      <c r="L13" s="507">
        <f t="shared" si="4"/>
        <v>18038.804</v>
      </c>
      <c r="M13" s="152">
        <f t="shared" si="4"/>
        <v>0</v>
      </c>
      <c r="N13" s="152">
        <f t="shared" si="4"/>
        <v>0</v>
      </c>
      <c r="O13" s="152">
        <f t="shared" si="4"/>
        <v>0</v>
      </c>
      <c r="P13" s="152">
        <f t="shared" si="4"/>
        <v>210</v>
      </c>
      <c r="Q13" s="152">
        <f t="shared" si="4"/>
        <v>210</v>
      </c>
      <c r="R13" s="152">
        <f t="shared" si="4"/>
        <v>258</v>
      </c>
      <c r="S13" s="152">
        <f t="shared" si="4"/>
        <v>0</v>
      </c>
      <c r="T13" s="152">
        <f t="shared" si="4"/>
        <v>0</v>
      </c>
      <c r="U13" s="152">
        <f t="shared" si="4"/>
        <v>0</v>
      </c>
      <c r="V13" s="152">
        <f t="shared" si="4"/>
        <v>23647.9</v>
      </c>
      <c r="W13" s="152">
        <f t="shared" si="4"/>
        <v>24627.816999999999</v>
      </c>
      <c r="X13" s="152">
        <f t="shared" si="4"/>
        <v>18288.401999999998</v>
      </c>
      <c r="Y13" s="152">
        <f t="shared" si="4"/>
        <v>0</v>
      </c>
      <c r="Z13" s="152">
        <f t="shared" si="4"/>
        <v>8.4</v>
      </c>
      <c r="AA13" s="507">
        <f t="shared" si="4"/>
        <v>8.4</v>
      </c>
      <c r="AB13" s="152">
        <f t="shared" si="4"/>
        <v>46255</v>
      </c>
      <c r="AC13" s="152">
        <f t="shared" si="4"/>
        <v>47491.517</v>
      </c>
      <c r="AD13" s="152">
        <f>SUM(AD5:AD12)</f>
        <v>39885.601000000002</v>
      </c>
      <c r="AE13" s="279">
        <f t="shared" si="2"/>
        <v>0.83984685096498402</v>
      </c>
    </row>
    <row r="14" spans="1:31" x14ac:dyDescent="0.25">
      <c r="A14" s="56">
        <v>12</v>
      </c>
      <c r="B14" s="59"/>
      <c r="C14" s="60" t="s">
        <v>238</v>
      </c>
      <c r="D14" s="153">
        <f>SUMIF($B5:$B12,"kötelező",D5:D12)</f>
        <v>1330.1</v>
      </c>
      <c r="E14" s="153">
        <f t="shared" ref="E14:AD14" si="5">SUMIF($B5:$B12,"kötelező",E5:E12)</f>
        <v>1330.1</v>
      </c>
      <c r="F14" s="153">
        <f t="shared" si="5"/>
        <v>726.48599999999999</v>
      </c>
      <c r="G14" s="153">
        <f t="shared" si="5"/>
        <v>0</v>
      </c>
      <c r="H14" s="153">
        <f t="shared" si="5"/>
        <v>0</v>
      </c>
      <c r="I14" s="153">
        <f t="shared" si="5"/>
        <v>0</v>
      </c>
      <c r="J14" s="153">
        <f t="shared" si="5"/>
        <v>2004</v>
      </c>
      <c r="K14" s="153">
        <f t="shared" si="5"/>
        <v>2252.1999999999998</v>
      </c>
      <c r="L14" s="153">
        <f t="shared" si="5"/>
        <v>1197.0319999999999</v>
      </c>
      <c r="M14" s="153">
        <f t="shared" si="5"/>
        <v>0</v>
      </c>
      <c r="N14" s="153">
        <f t="shared" si="5"/>
        <v>0</v>
      </c>
      <c r="O14" s="153">
        <f t="shared" si="5"/>
        <v>0</v>
      </c>
      <c r="P14" s="153">
        <f t="shared" si="5"/>
        <v>0</v>
      </c>
      <c r="Q14" s="153">
        <f t="shared" si="5"/>
        <v>0</v>
      </c>
      <c r="R14" s="153">
        <f t="shared" si="5"/>
        <v>0</v>
      </c>
      <c r="S14" s="153">
        <f t="shared" si="5"/>
        <v>0</v>
      </c>
      <c r="T14" s="153">
        <f t="shared" si="5"/>
        <v>0</v>
      </c>
      <c r="U14" s="153">
        <f t="shared" si="5"/>
        <v>0</v>
      </c>
      <c r="V14" s="153">
        <f t="shared" si="5"/>
        <v>12763.9</v>
      </c>
      <c r="W14" s="153">
        <f t="shared" si="5"/>
        <v>13743.816999999999</v>
      </c>
      <c r="X14" s="153">
        <f t="shared" si="5"/>
        <v>9522.6859999999997</v>
      </c>
      <c r="Y14" s="153">
        <f t="shared" si="5"/>
        <v>0</v>
      </c>
      <c r="Z14" s="153">
        <f t="shared" si="5"/>
        <v>8.4</v>
      </c>
      <c r="AA14" s="153">
        <f t="shared" si="5"/>
        <v>8.4</v>
      </c>
      <c r="AB14" s="153">
        <f t="shared" si="5"/>
        <v>16098</v>
      </c>
      <c r="AC14" s="153">
        <f t="shared" si="5"/>
        <v>17334.517</v>
      </c>
      <c r="AD14" s="153">
        <f t="shared" si="5"/>
        <v>11454.603999999999</v>
      </c>
      <c r="AE14" s="274">
        <f t="shared" si="2"/>
        <v>0.66079741362277356</v>
      </c>
    </row>
    <row r="15" spans="1:31" x14ac:dyDescent="0.25">
      <c r="A15" s="56">
        <v>13</v>
      </c>
      <c r="B15" s="59"/>
      <c r="C15" s="60" t="s">
        <v>239</v>
      </c>
      <c r="D15" s="153">
        <f>SUMIF($B5:$B12,"nem kötelező",D5:D12)</f>
        <v>3905</v>
      </c>
      <c r="E15" s="153">
        <f t="shared" ref="E15:AC15" si="6">SUMIF($B5:$B12,"nem kötelező",E5:E12)</f>
        <v>3905</v>
      </c>
      <c r="F15" s="153">
        <f t="shared" si="6"/>
        <v>2565.509</v>
      </c>
      <c r="G15" s="153">
        <f t="shared" si="6"/>
        <v>0</v>
      </c>
      <c r="H15" s="153">
        <f t="shared" si="6"/>
        <v>0</v>
      </c>
      <c r="I15" s="153">
        <f t="shared" si="6"/>
        <v>0</v>
      </c>
      <c r="J15" s="153">
        <f t="shared" si="6"/>
        <v>15158</v>
      </c>
      <c r="K15" s="153">
        <f t="shared" si="6"/>
        <v>15158</v>
      </c>
      <c r="L15" s="153">
        <f t="shared" si="6"/>
        <v>16841.772000000001</v>
      </c>
      <c r="M15" s="153">
        <f t="shared" si="6"/>
        <v>0</v>
      </c>
      <c r="N15" s="153">
        <f t="shared" si="6"/>
        <v>0</v>
      </c>
      <c r="O15" s="153">
        <f t="shared" si="6"/>
        <v>0</v>
      </c>
      <c r="P15" s="153">
        <f t="shared" si="6"/>
        <v>210</v>
      </c>
      <c r="Q15" s="153">
        <f t="shared" si="6"/>
        <v>210</v>
      </c>
      <c r="R15" s="153">
        <f t="shared" si="6"/>
        <v>258</v>
      </c>
      <c r="S15" s="153">
        <f t="shared" si="6"/>
        <v>0</v>
      </c>
      <c r="T15" s="153">
        <f t="shared" si="6"/>
        <v>0</v>
      </c>
      <c r="U15" s="153">
        <f t="shared" si="6"/>
        <v>0</v>
      </c>
      <c r="V15" s="153">
        <f t="shared" si="6"/>
        <v>10884</v>
      </c>
      <c r="W15" s="153">
        <f t="shared" si="6"/>
        <v>10884</v>
      </c>
      <c r="X15" s="153">
        <f t="shared" si="6"/>
        <v>8765.7160000000003</v>
      </c>
      <c r="Y15" s="153">
        <f t="shared" si="6"/>
        <v>0</v>
      </c>
      <c r="Z15" s="153">
        <f t="shared" si="6"/>
        <v>0</v>
      </c>
      <c r="AA15" s="153">
        <f t="shared" si="6"/>
        <v>0</v>
      </c>
      <c r="AB15" s="153">
        <f t="shared" si="6"/>
        <v>30157</v>
      </c>
      <c r="AC15" s="153">
        <f t="shared" si="6"/>
        <v>30157</v>
      </c>
      <c r="AD15" s="153">
        <f>SUMIF($B5:$B12,"nem kötelező",AD5:AD12)</f>
        <v>28430.997000000003</v>
      </c>
      <c r="AE15" s="274">
        <f t="shared" si="2"/>
        <v>0.9427660907915244</v>
      </c>
    </row>
    <row r="16" spans="1:31" x14ac:dyDescent="0.25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</sheetData>
  <mergeCells count="10">
    <mergeCell ref="V3:X3"/>
    <mergeCell ref="AB3:AE3"/>
    <mergeCell ref="C2:AE2"/>
    <mergeCell ref="D3:F3"/>
    <mergeCell ref="G3:I3"/>
    <mergeCell ref="J3:L3"/>
    <mergeCell ref="M3:O3"/>
    <mergeCell ref="P3:R3"/>
    <mergeCell ref="S3:U3"/>
    <mergeCell ref="Y3:AA3"/>
  </mergeCells>
  <printOptions horizontalCentered="1"/>
  <pageMargins left="0.70866141732283472" right="0.15748031496062992" top="0.74803149606299213" bottom="0.74803149606299213" header="0.31496062992125984" footer="0.31496062992125984"/>
  <pageSetup paperSize="8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99"/>
  <sheetViews>
    <sheetView view="pageBreakPreview" zoomScaleNormal="100" zoomScaleSheetLayoutView="100" workbookViewId="0">
      <pane xSplit="4" ySplit="4" topLeftCell="E58" activePane="bottomRight" state="frozen"/>
      <selection pane="topRight" activeCell="D1" sqref="D1"/>
      <selection pane="bottomLeft" activeCell="A6" sqref="A6"/>
      <selection pane="bottomRight" activeCell="AV86" sqref="AV86"/>
    </sheetView>
  </sheetViews>
  <sheetFormatPr defaultRowHeight="15" x14ac:dyDescent="0.25"/>
  <cols>
    <col min="1" max="2" width="6" style="79" customWidth="1"/>
    <col min="3" max="3" width="15" style="79" customWidth="1"/>
    <col min="4" max="4" width="63.5703125" style="79" customWidth="1"/>
    <col min="5" max="7" width="12.42578125" style="79" customWidth="1"/>
    <col min="8" max="10" width="13.28515625" style="79" customWidth="1"/>
    <col min="11" max="11" width="13.85546875" style="79" customWidth="1"/>
    <col min="12" max="13" width="13" style="79" customWidth="1"/>
    <col min="14" max="19" width="13.5703125" style="79" customWidth="1"/>
    <col min="20" max="22" width="12.28515625" style="79" customWidth="1"/>
    <col min="23" max="28" width="13.7109375" style="79" customWidth="1"/>
    <col min="29" max="31" width="14.85546875" style="79" customWidth="1"/>
    <col min="32" max="37" width="12.28515625" style="79" customWidth="1"/>
    <col min="38" max="40" width="13" style="79" customWidth="1"/>
    <col min="41" max="42" width="14.28515625" style="79" bestFit="1" customWidth="1"/>
    <col min="43" max="43" width="14.28515625" style="79" customWidth="1"/>
    <col min="44" max="44" width="14.28515625" style="325" customWidth="1"/>
    <col min="45" max="46" width="12.5703125" style="79" bestFit="1" customWidth="1"/>
    <col min="47" max="47" width="12.42578125" style="79" bestFit="1" customWidth="1"/>
    <col min="48" max="48" width="10.85546875" style="325" bestFit="1" customWidth="1"/>
    <col min="49" max="49" width="16.42578125" style="79" customWidth="1"/>
    <col min="50" max="51" width="12.28515625" style="79" hidden="1" customWidth="1"/>
    <col min="52" max="52" width="10.140625" style="79" bestFit="1" customWidth="1"/>
    <col min="53" max="16384" width="9.140625" style="79"/>
  </cols>
  <sheetData>
    <row r="1" spans="1:51" x14ac:dyDescent="0.25">
      <c r="AI1" s="588" t="s">
        <v>420</v>
      </c>
      <c r="AJ1" s="588"/>
      <c r="AK1" s="588"/>
      <c r="AL1" s="588"/>
      <c r="AM1" s="588"/>
      <c r="AN1" s="588"/>
      <c r="AO1" s="588"/>
      <c r="AP1" s="588"/>
      <c r="AQ1" s="588"/>
      <c r="AR1" s="588"/>
      <c r="AS1" s="588"/>
      <c r="AT1" s="275"/>
      <c r="AU1" s="275"/>
      <c r="AV1" s="536"/>
      <c r="AW1" s="174"/>
    </row>
    <row r="2" spans="1:51" ht="52.5" customHeight="1" x14ac:dyDescent="0.25">
      <c r="A2" s="76">
        <v>1</v>
      </c>
      <c r="B2" s="76"/>
      <c r="C2" s="76"/>
      <c r="D2" s="586" t="s">
        <v>545</v>
      </c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97"/>
      <c r="AY2" s="97"/>
    </row>
    <row r="3" spans="1:51" ht="72.75" customHeight="1" x14ac:dyDescent="0.25">
      <c r="A3" s="76">
        <v>2</v>
      </c>
      <c r="B3" s="76"/>
      <c r="C3" s="98" t="s">
        <v>198</v>
      </c>
      <c r="D3" s="99" t="s">
        <v>199</v>
      </c>
      <c r="E3" s="583" t="s">
        <v>91</v>
      </c>
      <c r="F3" s="584"/>
      <c r="G3" s="585"/>
      <c r="H3" s="583" t="s">
        <v>270</v>
      </c>
      <c r="I3" s="584"/>
      <c r="J3" s="585"/>
      <c r="K3" s="583" t="s">
        <v>93</v>
      </c>
      <c r="L3" s="584"/>
      <c r="M3" s="585"/>
      <c r="N3" s="583" t="s">
        <v>271</v>
      </c>
      <c r="O3" s="584"/>
      <c r="P3" s="585"/>
      <c r="Q3" s="583" t="s">
        <v>272</v>
      </c>
      <c r="R3" s="584"/>
      <c r="S3" s="585"/>
      <c r="T3" s="583" t="s">
        <v>273</v>
      </c>
      <c r="U3" s="584"/>
      <c r="V3" s="585"/>
      <c r="W3" s="583" t="s">
        <v>351</v>
      </c>
      <c r="X3" s="584"/>
      <c r="Y3" s="585"/>
      <c r="Z3" s="583" t="s">
        <v>352</v>
      </c>
      <c r="AA3" s="584"/>
      <c r="AB3" s="585"/>
      <c r="AC3" s="583" t="s">
        <v>109</v>
      </c>
      <c r="AD3" s="584"/>
      <c r="AE3" s="585"/>
      <c r="AF3" s="583" t="s">
        <v>112</v>
      </c>
      <c r="AG3" s="584"/>
      <c r="AH3" s="585"/>
      <c r="AI3" s="583" t="s">
        <v>274</v>
      </c>
      <c r="AJ3" s="584"/>
      <c r="AK3" s="585"/>
      <c r="AL3" s="583" t="s">
        <v>275</v>
      </c>
      <c r="AM3" s="584"/>
      <c r="AN3" s="585"/>
      <c r="AO3" s="583" t="s">
        <v>242</v>
      </c>
      <c r="AP3" s="584"/>
      <c r="AQ3" s="584"/>
      <c r="AR3" s="585"/>
      <c r="AS3" s="583" t="s">
        <v>276</v>
      </c>
      <c r="AT3" s="584"/>
      <c r="AU3" s="584"/>
      <c r="AV3" s="585"/>
      <c r="AW3" s="100" t="s">
        <v>277</v>
      </c>
      <c r="AX3" s="101"/>
      <c r="AY3" s="101"/>
    </row>
    <row r="4" spans="1:51" ht="30" x14ac:dyDescent="0.25">
      <c r="A4" s="76">
        <v>3</v>
      </c>
      <c r="B4" s="76"/>
      <c r="C4" s="98"/>
      <c r="D4" s="99" t="s">
        <v>278</v>
      </c>
      <c r="E4" s="102" t="s">
        <v>421</v>
      </c>
      <c r="F4" s="102" t="s">
        <v>406</v>
      </c>
      <c r="G4" s="102" t="s">
        <v>416</v>
      </c>
      <c r="H4" s="102" t="s">
        <v>421</v>
      </c>
      <c r="I4" s="102" t="s">
        <v>406</v>
      </c>
      <c r="J4" s="102" t="s">
        <v>416</v>
      </c>
      <c r="K4" s="102" t="s">
        <v>421</v>
      </c>
      <c r="L4" s="102" t="s">
        <v>406</v>
      </c>
      <c r="M4" s="102" t="s">
        <v>416</v>
      </c>
      <c r="N4" s="102" t="s">
        <v>421</v>
      </c>
      <c r="O4" s="102" t="s">
        <v>406</v>
      </c>
      <c r="P4" s="102" t="s">
        <v>416</v>
      </c>
      <c r="Q4" s="102" t="s">
        <v>421</v>
      </c>
      <c r="R4" s="102" t="s">
        <v>406</v>
      </c>
      <c r="S4" s="102" t="s">
        <v>416</v>
      </c>
      <c r="T4" s="102" t="s">
        <v>421</v>
      </c>
      <c r="U4" s="102" t="s">
        <v>406</v>
      </c>
      <c r="V4" s="102" t="s">
        <v>416</v>
      </c>
      <c r="W4" s="102" t="s">
        <v>421</v>
      </c>
      <c r="X4" s="102" t="s">
        <v>406</v>
      </c>
      <c r="Y4" s="102" t="s">
        <v>416</v>
      </c>
      <c r="Z4" s="102" t="s">
        <v>421</v>
      </c>
      <c r="AA4" s="102" t="s">
        <v>406</v>
      </c>
      <c r="AB4" s="102" t="s">
        <v>416</v>
      </c>
      <c r="AC4" s="102" t="s">
        <v>422</v>
      </c>
      <c r="AD4" s="102" t="s">
        <v>406</v>
      </c>
      <c r="AE4" s="102" t="s">
        <v>416</v>
      </c>
      <c r="AF4" s="102" t="s">
        <v>421</v>
      </c>
      <c r="AG4" s="102" t="s">
        <v>406</v>
      </c>
      <c r="AH4" s="102" t="s">
        <v>416</v>
      </c>
      <c r="AI4" s="102" t="s">
        <v>421</v>
      </c>
      <c r="AJ4" s="102" t="s">
        <v>406</v>
      </c>
      <c r="AK4" s="102" t="s">
        <v>416</v>
      </c>
      <c r="AL4" s="102" t="s">
        <v>421</v>
      </c>
      <c r="AM4" s="102" t="s">
        <v>406</v>
      </c>
      <c r="AN4" s="102" t="s">
        <v>416</v>
      </c>
      <c r="AO4" s="102" t="s">
        <v>422</v>
      </c>
      <c r="AP4" s="102" t="s">
        <v>406</v>
      </c>
      <c r="AQ4" s="102" t="s">
        <v>416</v>
      </c>
      <c r="AR4" s="323" t="s">
        <v>417</v>
      </c>
      <c r="AS4" s="102" t="s">
        <v>422</v>
      </c>
      <c r="AT4" s="102" t="s">
        <v>406</v>
      </c>
      <c r="AU4" s="102" t="s">
        <v>416</v>
      </c>
      <c r="AV4" s="323" t="s">
        <v>417</v>
      </c>
      <c r="AW4" s="102" t="s">
        <v>421</v>
      </c>
      <c r="AX4" s="102" t="s">
        <v>423</v>
      </c>
      <c r="AY4" s="102" t="s">
        <v>206</v>
      </c>
    </row>
    <row r="5" spans="1:51" x14ac:dyDescent="0.25">
      <c r="A5" s="76">
        <v>4</v>
      </c>
      <c r="B5" s="76">
        <v>504</v>
      </c>
      <c r="C5" s="76" t="s">
        <v>213</v>
      </c>
      <c r="D5" s="77" t="s">
        <v>279</v>
      </c>
      <c r="E5" s="130">
        <v>423</v>
      </c>
      <c r="F5" s="130">
        <v>423</v>
      </c>
      <c r="G5" s="130">
        <v>178.62</v>
      </c>
      <c r="H5" s="130"/>
      <c r="I5" s="130"/>
      <c r="J5" s="130"/>
      <c r="K5" s="130">
        <v>577</v>
      </c>
      <c r="L5" s="130">
        <v>527</v>
      </c>
      <c r="M5" s="130">
        <v>357.33100000000002</v>
      </c>
      <c r="N5" s="130"/>
      <c r="O5" s="130"/>
      <c r="P5" s="130"/>
      <c r="Q5" s="130"/>
      <c r="R5" s="130">
        <v>240</v>
      </c>
      <c r="S5" s="130">
        <v>190</v>
      </c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1">
        <f t="shared" ref="AO5:AO8" si="0">AL5+AI5+AF5+AC5+W5+Q5+N5+K5+H5+E5+T5</f>
        <v>1000</v>
      </c>
      <c r="AP5" s="131">
        <f>F5+I5+L5+O5+R5+U5+X5+AA5+AD5+AG5+AJ5+AM5</f>
        <v>1190</v>
      </c>
      <c r="AQ5" s="531">
        <f>G5+J5+M5+P5+S5+V5+Y5+AB5+AE5+AH5+AK5+AN5</f>
        <v>725.95100000000002</v>
      </c>
      <c r="AR5" s="324">
        <f>AQ5/AP5</f>
        <v>0.61004285714285711</v>
      </c>
      <c r="AS5" s="132"/>
      <c r="AT5" s="132"/>
      <c r="AU5" s="132"/>
      <c r="AV5" s="537"/>
      <c r="AW5" s="132"/>
      <c r="AX5" s="78"/>
      <c r="AY5" s="78">
        <v>4836</v>
      </c>
    </row>
    <row r="6" spans="1:51" x14ac:dyDescent="0.25">
      <c r="A6" s="76">
        <v>5</v>
      </c>
      <c r="B6" s="76">
        <v>505</v>
      </c>
      <c r="C6" s="76" t="s">
        <v>207</v>
      </c>
      <c r="D6" s="77" t="s">
        <v>323</v>
      </c>
      <c r="E6" s="130">
        <v>14074</v>
      </c>
      <c r="F6" s="130">
        <v>14074</v>
      </c>
      <c r="G6" s="130">
        <v>10709.987999999999</v>
      </c>
      <c r="H6" s="130">
        <v>3045</v>
      </c>
      <c r="I6" s="130">
        <v>3045</v>
      </c>
      <c r="J6" s="130">
        <v>1982.8</v>
      </c>
      <c r="K6" s="130">
        <v>1365</v>
      </c>
      <c r="L6" s="130">
        <v>1365</v>
      </c>
      <c r="M6" s="130">
        <v>724.01</v>
      </c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>
        <v>50</v>
      </c>
      <c r="AD6" s="130">
        <v>50</v>
      </c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1">
        <f t="shared" si="0"/>
        <v>18534</v>
      </c>
      <c r="AP6" s="131">
        <f t="shared" ref="AP6:AQ64" si="1">F6+I6+L6+O6+R6+U6+X6+AA6+AD6+AG6+AJ6+AM6</f>
        <v>18534</v>
      </c>
      <c r="AQ6" s="531">
        <f t="shared" si="1"/>
        <v>13416.797999999999</v>
      </c>
      <c r="AR6" s="324">
        <f t="shared" ref="AR6:AR65" si="2">AQ6/AP6</f>
        <v>0.72390191000323723</v>
      </c>
      <c r="AS6" s="132"/>
      <c r="AT6" s="132"/>
      <c r="AU6" s="132"/>
      <c r="AV6" s="537"/>
      <c r="AW6" s="132"/>
      <c r="AX6" s="78"/>
      <c r="AY6" s="78"/>
    </row>
    <row r="7" spans="1:51" x14ac:dyDescent="0.25">
      <c r="A7" s="76">
        <v>6</v>
      </c>
      <c r="B7" s="76">
        <v>507</v>
      </c>
      <c r="C7" s="76" t="s">
        <v>207</v>
      </c>
      <c r="D7" s="77" t="s">
        <v>451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>
        <v>19925</v>
      </c>
      <c r="AG7" s="130">
        <v>20320</v>
      </c>
      <c r="AH7" s="130">
        <v>20320</v>
      </c>
      <c r="AI7" s="130"/>
      <c r="AJ7" s="130"/>
      <c r="AK7" s="130"/>
      <c r="AL7" s="130"/>
      <c r="AM7" s="130"/>
      <c r="AN7" s="130"/>
      <c r="AO7" s="131">
        <f t="shared" si="0"/>
        <v>19925</v>
      </c>
      <c r="AP7" s="131">
        <f t="shared" si="1"/>
        <v>20320</v>
      </c>
      <c r="AQ7" s="531">
        <f t="shared" si="1"/>
        <v>20320</v>
      </c>
      <c r="AR7" s="324">
        <f t="shared" si="2"/>
        <v>1</v>
      </c>
      <c r="AS7" s="132"/>
      <c r="AT7" s="132"/>
      <c r="AU7" s="132"/>
      <c r="AV7" s="537"/>
      <c r="AW7" s="132"/>
      <c r="AX7" s="78"/>
      <c r="AY7" s="78"/>
    </row>
    <row r="8" spans="1:51" x14ac:dyDescent="0.25">
      <c r="A8" s="76">
        <v>7</v>
      </c>
      <c r="B8" s="76">
        <v>523</v>
      </c>
      <c r="C8" s="76" t="s">
        <v>207</v>
      </c>
      <c r="D8" s="77" t="s">
        <v>452</v>
      </c>
      <c r="E8" s="130"/>
      <c r="F8" s="130"/>
      <c r="G8" s="130"/>
      <c r="H8" s="130"/>
      <c r="I8" s="130"/>
      <c r="J8" s="130"/>
      <c r="K8" s="130"/>
      <c r="L8" s="130"/>
      <c r="M8" s="130">
        <v>40</v>
      </c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>
        <v>10526</v>
      </c>
      <c r="AD8" s="130">
        <v>10776</v>
      </c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1">
        <f t="shared" si="0"/>
        <v>10526</v>
      </c>
      <c r="AP8" s="131">
        <f t="shared" si="1"/>
        <v>10776</v>
      </c>
      <c r="AQ8" s="531">
        <f t="shared" si="1"/>
        <v>40</v>
      </c>
      <c r="AR8" s="324">
        <f t="shared" si="2"/>
        <v>3.7119524870081661E-3</v>
      </c>
      <c r="AS8" s="132"/>
      <c r="AT8" s="132"/>
      <c r="AU8" s="132"/>
      <c r="AV8" s="537"/>
      <c r="AW8" s="132"/>
      <c r="AX8" s="78"/>
      <c r="AY8" s="78"/>
    </row>
    <row r="9" spans="1:51" x14ac:dyDescent="0.25">
      <c r="A9" s="76">
        <v>8</v>
      </c>
      <c r="B9" s="76">
        <v>508</v>
      </c>
      <c r="C9" s="76" t="s">
        <v>207</v>
      </c>
      <c r="D9" s="77" t="s">
        <v>280</v>
      </c>
      <c r="E9" s="133"/>
      <c r="F9" s="133"/>
      <c r="G9" s="133"/>
      <c r="H9" s="133"/>
      <c r="I9" s="133"/>
      <c r="J9" s="133"/>
      <c r="K9" s="134">
        <v>30</v>
      </c>
      <c r="L9" s="134">
        <v>30</v>
      </c>
      <c r="M9" s="134">
        <v>17.126000000000001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>
        <v>500</v>
      </c>
      <c r="AG9" s="133">
        <v>1623.5360000000001</v>
      </c>
      <c r="AH9" s="133">
        <v>207.45099999999999</v>
      </c>
      <c r="AI9" s="133"/>
      <c r="AJ9" s="133"/>
      <c r="AK9" s="133"/>
      <c r="AL9" s="133"/>
      <c r="AM9" s="133"/>
      <c r="AN9" s="133"/>
      <c r="AO9" s="131">
        <f t="shared" ref="AO9:AO64" si="3">AL9+AI9+AF9+AC9+W9+Q9+N9+K9+H9+E9+T9</f>
        <v>530</v>
      </c>
      <c r="AP9" s="131">
        <f t="shared" si="1"/>
        <v>1653.5360000000001</v>
      </c>
      <c r="AQ9" s="531">
        <f t="shared" si="1"/>
        <v>224.577</v>
      </c>
      <c r="AR9" s="324">
        <f t="shared" si="2"/>
        <v>0.13581621446403344</v>
      </c>
      <c r="AS9" s="132"/>
      <c r="AT9" s="132"/>
      <c r="AU9" s="132"/>
      <c r="AV9" s="537"/>
      <c r="AW9" s="132"/>
      <c r="AX9" s="78"/>
      <c r="AY9" s="78">
        <v>176</v>
      </c>
    </row>
    <row r="10" spans="1:51" x14ac:dyDescent="0.25">
      <c r="A10" s="76">
        <v>9</v>
      </c>
      <c r="B10" s="76">
        <v>509</v>
      </c>
      <c r="C10" s="76" t="s">
        <v>207</v>
      </c>
      <c r="D10" s="77" t="s">
        <v>281</v>
      </c>
      <c r="E10" s="133"/>
      <c r="F10" s="133"/>
      <c r="G10" s="133"/>
      <c r="H10" s="133"/>
      <c r="I10" s="133"/>
      <c r="J10" s="133"/>
      <c r="K10" s="134">
        <v>526</v>
      </c>
      <c r="L10" s="134">
        <v>526</v>
      </c>
      <c r="M10" s="134">
        <v>397.4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5"/>
      <c r="AG10" s="135"/>
      <c r="AH10" s="135">
        <v>1123.5360000000001</v>
      </c>
      <c r="AI10" s="133"/>
      <c r="AJ10" s="133"/>
      <c r="AK10" s="133"/>
      <c r="AL10" s="133"/>
      <c r="AM10" s="133"/>
      <c r="AN10" s="133"/>
      <c r="AO10" s="131">
        <f t="shared" si="3"/>
        <v>526</v>
      </c>
      <c r="AP10" s="131">
        <f t="shared" si="1"/>
        <v>526</v>
      </c>
      <c r="AQ10" s="531">
        <f t="shared" si="1"/>
        <v>1520.9360000000001</v>
      </c>
      <c r="AR10" s="324">
        <f t="shared" si="2"/>
        <v>2.8915133079847912</v>
      </c>
      <c r="AS10" s="132"/>
      <c r="AT10" s="132"/>
      <c r="AU10" s="132"/>
      <c r="AV10" s="537"/>
      <c r="AW10" s="132"/>
      <c r="AX10" s="78"/>
      <c r="AY10" s="78">
        <v>10154</v>
      </c>
    </row>
    <row r="11" spans="1:51" x14ac:dyDescent="0.25">
      <c r="A11" s="76">
        <v>10</v>
      </c>
      <c r="B11" s="76">
        <v>514</v>
      </c>
      <c r="C11" s="76" t="s">
        <v>207</v>
      </c>
      <c r="D11" s="77" t="s">
        <v>282</v>
      </c>
      <c r="E11" s="133"/>
      <c r="F11" s="133"/>
      <c r="G11" s="133"/>
      <c r="H11" s="133"/>
      <c r="I11" s="133"/>
      <c r="J11" s="133"/>
      <c r="K11" s="134">
        <v>665</v>
      </c>
      <c r="L11" s="134">
        <v>997</v>
      </c>
      <c r="M11" s="134">
        <v>332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>
        <v>0</v>
      </c>
      <c r="AK11" s="133"/>
      <c r="AL11" s="133"/>
      <c r="AM11" s="133"/>
      <c r="AN11" s="133"/>
      <c r="AO11" s="131">
        <f t="shared" si="3"/>
        <v>665</v>
      </c>
      <c r="AP11" s="131">
        <f t="shared" si="1"/>
        <v>997</v>
      </c>
      <c r="AQ11" s="531">
        <f t="shared" si="1"/>
        <v>332</v>
      </c>
      <c r="AR11" s="324">
        <f t="shared" si="2"/>
        <v>0.33299899699097291</v>
      </c>
      <c r="AS11" s="132"/>
      <c r="AT11" s="132"/>
      <c r="AU11" s="132"/>
      <c r="AV11" s="537"/>
      <c r="AW11" s="132"/>
      <c r="AX11" s="78"/>
      <c r="AY11" s="78">
        <v>512</v>
      </c>
    </row>
    <row r="12" spans="1:51" x14ac:dyDescent="0.25">
      <c r="A12" s="76">
        <v>11</v>
      </c>
      <c r="B12" s="76">
        <v>515</v>
      </c>
      <c r="C12" s="76" t="s">
        <v>207</v>
      </c>
      <c r="D12" s="77" t="s">
        <v>283</v>
      </c>
      <c r="E12" s="133"/>
      <c r="F12" s="133"/>
      <c r="G12" s="133"/>
      <c r="H12" s="133"/>
      <c r="I12" s="133"/>
      <c r="J12" s="133"/>
      <c r="K12" s="134">
        <v>9426</v>
      </c>
      <c r="L12" s="134">
        <v>9696.8140000000003</v>
      </c>
      <c r="M12" s="134">
        <v>6597.4719999999998</v>
      </c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1">
        <f t="shared" si="3"/>
        <v>9426</v>
      </c>
      <c r="AP12" s="131">
        <f t="shared" si="1"/>
        <v>9696.8140000000003</v>
      </c>
      <c r="AQ12" s="531">
        <f t="shared" si="1"/>
        <v>6597.4719999999998</v>
      </c>
      <c r="AR12" s="324">
        <f t="shared" si="2"/>
        <v>0.68037522427469477</v>
      </c>
      <c r="AS12" s="132"/>
      <c r="AT12" s="132"/>
      <c r="AU12" s="132"/>
      <c r="AV12" s="537"/>
      <c r="AW12" s="132"/>
      <c r="AX12" s="78"/>
      <c r="AY12" s="78">
        <v>9765</v>
      </c>
    </row>
    <row r="13" spans="1:51" x14ac:dyDescent="0.25">
      <c r="A13" s="76">
        <v>12</v>
      </c>
      <c r="B13" s="76">
        <v>517</v>
      </c>
      <c r="C13" s="76" t="s">
        <v>207</v>
      </c>
      <c r="D13" s="77" t="s">
        <v>453</v>
      </c>
      <c r="E13" s="133"/>
      <c r="F13" s="133"/>
      <c r="G13" s="133"/>
      <c r="H13" s="133"/>
      <c r="I13" s="133"/>
      <c r="J13" s="133"/>
      <c r="K13" s="134"/>
      <c r="L13" s="134"/>
      <c r="M13" s="134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4"/>
      <c r="AD13" s="134"/>
      <c r="AE13" s="134"/>
      <c r="AF13" s="133"/>
      <c r="AG13" s="133"/>
      <c r="AH13" s="133"/>
      <c r="AI13" s="133">
        <v>3829</v>
      </c>
      <c r="AJ13" s="133">
        <v>4343.6189999999997</v>
      </c>
      <c r="AK13" s="133"/>
      <c r="AL13" s="133"/>
      <c r="AM13" s="133"/>
      <c r="AN13" s="133"/>
      <c r="AO13" s="131">
        <f t="shared" si="3"/>
        <v>3829</v>
      </c>
      <c r="AP13" s="131">
        <f t="shared" si="1"/>
        <v>4343.6189999999997</v>
      </c>
      <c r="AQ13" s="131">
        <f t="shared" si="1"/>
        <v>0</v>
      </c>
      <c r="AR13" s="324">
        <f t="shared" si="2"/>
        <v>0</v>
      </c>
      <c r="AS13" s="132"/>
      <c r="AT13" s="132"/>
      <c r="AU13" s="132"/>
      <c r="AV13" s="537"/>
      <c r="AW13" s="132"/>
      <c r="AX13" s="78"/>
      <c r="AY13" s="78"/>
    </row>
    <row r="14" spans="1:51" x14ac:dyDescent="0.25">
      <c r="A14" s="76">
        <v>13</v>
      </c>
      <c r="B14" s="76">
        <v>516</v>
      </c>
      <c r="C14" s="76" t="s">
        <v>213</v>
      </c>
      <c r="D14" s="77" t="s">
        <v>303</v>
      </c>
      <c r="E14" s="133"/>
      <c r="F14" s="133"/>
      <c r="G14" s="133"/>
      <c r="H14" s="133"/>
      <c r="I14" s="133"/>
      <c r="J14" s="133"/>
      <c r="K14" s="134"/>
      <c r="L14" s="134"/>
      <c r="M14" s="134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4">
        <v>1824</v>
      </c>
      <c r="AJ14" s="134">
        <v>5612.38</v>
      </c>
      <c r="AK14" s="134"/>
      <c r="AL14" s="133"/>
      <c r="AM14" s="133"/>
      <c r="AN14" s="133"/>
      <c r="AO14" s="131">
        <f t="shared" si="3"/>
        <v>1824</v>
      </c>
      <c r="AP14" s="131">
        <f t="shared" si="1"/>
        <v>5612.38</v>
      </c>
      <c r="AQ14" s="131">
        <f t="shared" si="1"/>
        <v>0</v>
      </c>
      <c r="AR14" s="324">
        <f t="shared" si="2"/>
        <v>0</v>
      </c>
      <c r="AS14" s="132"/>
      <c r="AT14" s="132"/>
      <c r="AU14" s="132"/>
      <c r="AV14" s="537"/>
      <c r="AW14" s="132"/>
      <c r="AX14" s="78"/>
      <c r="AY14" s="78"/>
    </row>
    <row r="15" spans="1:51" x14ac:dyDescent="0.25">
      <c r="A15" s="76">
        <v>14</v>
      </c>
      <c r="B15" s="76">
        <v>518</v>
      </c>
      <c r="C15" s="76" t="s">
        <v>213</v>
      </c>
      <c r="D15" s="77" t="s">
        <v>307</v>
      </c>
      <c r="E15" s="133"/>
      <c r="F15" s="133"/>
      <c r="G15" s="133"/>
      <c r="H15" s="133"/>
      <c r="I15" s="133"/>
      <c r="J15" s="133"/>
      <c r="K15" s="134"/>
      <c r="L15" s="134"/>
      <c r="M15" s="134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4">
        <v>10951.066999999999</v>
      </c>
      <c r="AJ15" s="134">
        <v>2732.28</v>
      </c>
      <c r="AK15" s="134"/>
      <c r="AL15" s="133"/>
      <c r="AM15" s="133"/>
      <c r="AN15" s="133"/>
      <c r="AO15" s="131">
        <f t="shared" si="3"/>
        <v>10951.066999999999</v>
      </c>
      <c r="AP15" s="131">
        <f t="shared" si="1"/>
        <v>2732.28</v>
      </c>
      <c r="AQ15" s="131">
        <f t="shared" si="1"/>
        <v>0</v>
      </c>
      <c r="AR15" s="324">
        <f t="shared" si="2"/>
        <v>0</v>
      </c>
      <c r="AS15" s="132"/>
      <c r="AT15" s="132"/>
      <c r="AU15" s="132"/>
      <c r="AV15" s="537"/>
      <c r="AW15" s="132"/>
      <c r="AX15" s="78"/>
      <c r="AY15" s="78"/>
    </row>
    <row r="16" spans="1:51" x14ac:dyDescent="0.25">
      <c r="A16" s="76">
        <v>15</v>
      </c>
      <c r="B16" s="76">
        <v>550</v>
      </c>
      <c r="C16" s="76" t="s">
        <v>213</v>
      </c>
      <c r="D16" s="77" t="s">
        <v>454</v>
      </c>
      <c r="E16" s="133"/>
      <c r="F16" s="133"/>
      <c r="G16" s="133"/>
      <c r="H16" s="133"/>
      <c r="I16" s="133"/>
      <c r="J16" s="133"/>
      <c r="K16" s="134"/>
      <c r="L16" s="134"/>
      <c r="M16" s="134"/>
      <c r="N16" s="134">
        <v>2000</v>
      </c>
      <c r="O16" s="134">
        <v>2000</v>
      </c>
      <c r="P16" s="505">
        <v>863.9</v>
      </c>
      <c r="Q16" s="134"/>
      <c r="R16" s="134"/>
      <c r="S16" s="134"/>
      <c r="T16" s="134"/>
      <c r="U16" s="134"/>
      <c r="V16" s="134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1">
        <f t="shared" si="3"/>
        <v>2000</v>
      </c>
      <c r="AP16" s="131">
        <f t="shared" si="1"/>
        <v>2000</v>
      </c>
      <c r="AQ16" s="531">
        <f t="shared" si="1"/>
        <v>863.9</v>
      </c>
      <c r="AR16" s="324">
        <f t="shared" si="2"/>
        <v>0.43195</v>
      </c>
      <c r="AS16" s="132"/>
      <c r="AT16" s="132"/>
      <c r="AU16" s="132"/>
      <c r="AV16" s="537"/>
      <c r="AW16" s="132"/>
      <c r="AX16" s="78"/>
      <c r="AY16" s="78">
        <v>1425</v>
      </c>
    </row>
    <row r="17" spans="1:51" x14ac:dyDescent="0.25">
      <c r="A17" s="76">
        <v>16</v>
      </c>
      <c r="B17" s="76">
        <v>524</v>
      </c>
      <c r="C17" s="76" t="s">
        <v>213</v>
      </c>
      <c r="D17" s="77" t="s">
        <v>335</v>
      </c>
      <c r="E17" s="133"/>
      <c r="F17" s="133"/>
      <c r="G17" s="133"/>
      <c r="H17" s="133"/>
      <c r="I17" s="133"/>
      <c r="J17" s="133"/>
      <c r="K17" s="134"/>
      <c r="L17" s="134"/>
      <c r="M17" s="134"/>
      <c r="N17" s="134">
        <v>150</v>
      </c>
      <c r="O17" s="134">
        <v>150</v>
      </c>
      <c r="P17" s="505">
        <v>165.5</v>
      </c>
      <c r="Q17" s="134"/>
      <c r="R17" s="134"/>
      <c r="S17" s="134"/>
      <c r="T17" s="134"/>
      <c r="U17" s="134"/>
      <c r="V17" s="134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1">
        <f t="shared" si="3"/>
        <v>150</v>
      </c>
      <c r="AP17" s="131">
        <f t="shared" si="1"/>
        <v>150</v>
      </c>
      <c r="AQ17" s="531">
        <f t="shared" si="1"/>
        <v>165.5</v>
      </c>
      <c r="AR17" s="324">
        <f t="shared" si="2"/>
        <v>1.1033333333333333</v>
      </c>
      <c r="AS17" s="132"/>
      <c r="AT17" s="132"/>
      <c r="AU17" s="132"/>
      <c r="AV17" s="537"/>
      <c r="AW17" s="132"/>
      <c r="AX17" s="78"/>
      <c r="AY17" s="78">
        <v>96</v>
      </c>
    </row>
    <row r="18" spans="1:51" x14ac:dyDescent="0.25">
      <c r="A18" s="76">
        <v>17</v>
      </c>
      <c r="B18" s="76">
        <v>521</v>
      </c>
      <c r="C18" s="76" t="s">
        <v>213</v>
      </c>
      <c r="D18" s="77" t="s">
        <v>333</v>
      </c>
      <c r="E18" s="133"/>
      <c r="F18" s="133"/>
      <c r="G18" s="133"/>
      <c r="H18" s="133"/>
      <c r="I18" s="133"/>
      <c r="J18" s="133"/>
      <c r="K18" s="134"/>
      <c r="L18" s="134"/>
      <c r="M18" s="134"/>
      <c r="N18" s="134"/>
      <c r="O18" s="134"/>
      <c r="P18" s="134"/>
      <c r="Q18" s="134"/>
      <c r="R18" s="134"/>
      <c r="S18" s="134"/>
      <c r="T18" s="134">
        <v>520</v>
      </c>
      <c r="U18" s="134">
        <v>520</v>
      </c>
      <c r="V18" s="134">
        <v>500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1">
        <f t="shared" si="3"/>
        <v>520</v>
      </c>
      <c r="AP18" s="131">
        <f t="shared" si="1"/>
        <v>520</v>
      </c>
      <c r="AQ18" s="531">
        <f t="shared" si="1"/>
        <v>500</v>
      </c>
      <c r="AR18" s="324">
        <f t="shared" si="2"/>
        <v>0.96153846153846156</v>
      </c>
      <c r="AS18" s="132"/>
      <c r="AT18" s="132"/>
      <c r="AU18" s="132"/>
      <c r="AV18" s="537"/>
      <c r="AW18" s="132"/>
      <c r="AX18" s="78"/>
      <c r="AY18" s="78">
        <v>250</v>
      </c>
    </row>
    <row r="19" spans="1:51" x14ac:dyDescent="0.25">
      <c r="A19" s="76">
        <v>18</v>
      </c>
      <c r="B19" s="76">
        <v>522</v>
      </c>
      <c r="C19" s="76" t="s">
        <v>213</v>
      </c>
      <c r="D19" s="77" t="s">
        <v>284</v>
      </c>
      <c r="E19" s="133"/>
      <c r="F19" s="133"/>
      <c r="G19" s="133"/>
      <c r="H19" s="133"/>
      <c r="I19" s="133"/>
      <c r="J19" s="133"/>
      <c r="K19" s="134"/>
      <c r="L19" s="134"/>
      <c r="M19" s="134"/>
      <c r="N19" s="134">
        <v>100</v>
      </c>
      <c r="O19" s="134">
        <v>100</v>
      </c>
      <c r="P19" s="505">
        <v>40</v>
      </c>
      <c r="Q19" s="134"/>
      <c r="R19" s="134"/>
      <c r="S19" s="134"/>
      <c r="T19" s="134"/>
      <c r="U19" s="134"/>
      <c r="V19" s="134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1">
        <f t="shared" si="3"/>
        <v>100</v>
      </c>
      <c r="AP19" s="131">
        <f t="shared" si="1"/>
        <v>100</v>
      </c>
      <c r="AQ19" s="531">
        <f t="shared" si="1"/>
        <v>40</v>
      </c>
      <c r="AR19" s="324">
        <f t="shared" si="2"/>
        <v>0.4</v>
      </c>
      <c r="AS19" s="132"/>
      <c r="AT19" s="132"/>
      <c r="AU19" s="132"/>
      <c r="AV19" s="537"/>
      <c r="AW19" s="132"/>
      <c r="AX19" s="78"/>
      <c r="AY19" s="78">
        <v>80</v>
      </c>
    </row>
    <row r="20" spans="1:51" x14ac:dyDescent="0.25">
      <c r="A20" s="76">
        <v>19</v>
      </c>
      <c r="B20" s="76">
        <v>519</v>
      </c>
      <c r="C20" s="76" t="s">
        <v>207</v>
      </c>
      <c r="D20" s="77" t="s">
        <v>455</v>
      </c>
      <c r="E20" s="133"/>
      <c r="F20" s="133"/>
      <c r="G20" s="133"/>
      <c r="H20" s="133"/>
      <c r="I20" s="133"/>
      <c r="J20" s="133"/>
      <c r="K20" s="134"/>
      <c r="L20" s="134"/>
      <c r="M20" s="134"/>
      <c r="N20" s="134">
        <v>1000</v>
      </c>
      <c r="O20" s="134">
        <v>1707.78</v>
      </c>
      <c r="P20" s="505">
        <v>820.9</v>
      </c>
      <c r="Q20" s="134"/>
      <c r="R20" s="134"/>
      <c r="S20" s="134"/>
      <c r="T20" s="134"/>
      <c r="U20" s="134"/>
      <c r="V20" s="134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1">
        <f t="shared" si="3"/>
        <v>1000</v>
      </c>
      <c r="AP20" s="131">
        <f t="shared" si="1"/>
        <v>1707.78</v>
      </c>
      <c r="AQ20" s="531">
        <f t="shared" si="1"/>
        <v>820.9</v>
      </c>
      <c r="AR20" s="324">
        <f t="shared" si="2"/>
        <v>0.48068252351005397</v>
      </c>
      <c r="AS20" s="132"/>
      <c r="AT20" s="132"/>
      <c r="AU20" s="132"/>
      <c r="AV20" s="537"/>
      <c r="AW20" s="132"/>
      <c r="AX20" s="78"/>
      <c r="AY20" s="78">
        <v>146</v>
      </c>
    </row>
    <row r="21" spans="1:51" x14ac:dyDescent="0.25">
      <c r="A21" s="76">
        <v>20</v>
      </c>
      <c r="B21" s="76">
        <v>517</v>
      </c>
      <c r="C21" s="76" t="s">
        <v>207</v>
      </c>
      <c r="D21" s="77" t="s">
        <v>456</v>
      </c>
      <c r="E21" s="133"/>
      <c r="F21" s="133"/>
      <c r="G21" s="133"/>
      <c r="H21" s="133"/>
      <c r="I21" s="133"/>
      <c r="J21" s="133"/>
      <c r="K21" s="134"/>
      <c r="L21" s="134"/>
      <c r="M21" s="134"/>
      <c r="N21" s="134">
        <v>300</v>
      </c>
      <c r="O21" s="134">
        <v>300</v>
      </c>
      <c r="P21" s="505">
        <v>93</v>
      </c>
      <c r="Q21" s="134"/>
      <c r="R21" s="134"/>
      <c r="S21" s="134"/>
      <c r="T21" s="134"/>
      <c r="U21" s="134"/>
      <c r="V21" s="134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1">
        <f t="shared" si="3"/>
        <v>300</v>
      </c>
      <c r="AP21" s="131">
        <f t="shared" si="1"/>
        <v>300</v>
      </c>
      <c r="AQ21" s="531">
        <f t="shared" si="1"/>
        <v>93</v>
      </c>
      <c r="AR21" s="324">
        <f t="shared" si="2"/>
        <v>0.31</v>
      </c>
      <c r="AS21" s="132"/>
      <c r="AT21" s="132"/>
      <c r="AU21" s="132"/>
      <c r="AV21" s="537"/>
      <c r="AW21" s="132"/>
      <c r="AX21" s="78"/>
      <c r="AY21" s="78">
        <v>132</v>
      </c>
    </row>
    <row r="22" spans="1:51" x14ac:dyDescent="0.25">
      <c r="A22" s="76">
        <v>21</v>
      </c>
      <c r="B22" s="76">
        <v>550</v>
      </c>
      <c r="C22" s="76" t="s">
        <v>207</v>
      </c>
      <c r="D22" s="77" t="s">
        <v>457</v>
      </c>
      <c r="E22" s="133"/>
      <c r="F22" s="133"/>
      <c r="G22" s="133"/>
      <c r="H22" s="133"/>
      <c r="I22" s="133"/>
      <c r="J22" s="133"/>
      <c r="K22" s="134"/>
      <c r="L22" s="134"/>
      <c r="M22" s="134"/>
      <c r="N22" s="134">
        <v>300</v>
      </c>
      <c r="O22" s="134">
        <v>300</v>
      </c>
      <c r="P22" s="505">
        <v>80</v>
      </c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57"/>
      <c r="AG22" s="157"/>
      <c r="AH22" s="157"/>
      <c r="AI22" s="131"/>
      <c r="AJ22" s="131"/>
      <c r="AK22" s="131"/>
      <c r="AL22" s="136"/>
      <c r="AM22" s="136"/>
      <c r="AN22" s="136"/>
      <c r="AO22" s="131">
        <f>AL22+AI22+AF22+AC22+W22+Q22+N22+K22+H22+E22+T22</f>
        <v>300</v>
      </c>
      <c r="AP22" s="131">
        <f t="shared" si="1"/>
        <v>300</v>
      </c>
      <c r="AQ22" s="531">
        <f t="shared" si="1"/>
        <v>80</v>
      </c>
      <c r="AR22" s="324">
        <f t="shared" si="2"/>
        <v>0.26666666666666666</v>
      </c>
      <c r="AS22" s="136"/>
      <c r="AT22" s="136"/>
      <c r="AU22" s="136"/>
      <c r="AV22" s="538"/>
      <c r="AW22" s="136"/>
      <c r="AX22" s="103"/>
      <c r="AY22" s="158">
        <v>10579</v>
      </c>
    </row>
    <row r="23" spans="1:51" x14ac:dyDescent="0.25">
      <c r="A23" s="76">
        <v>22</v>
      </c>
      <c r="B23" s="76">
        <v>525</v>
      </c>
      <c r="C23" s="76" t="s">
        <v>207</v>
      </c>
      <c r="D23" s="77" t="s">
        <v>285</v>
      </c>
      <c r="E23" s="133"/>
      <c r="F23" s="133"/>
      <c r="G23" s="133"/>
      <c r="H23" s="133"/>
      <c r="I23" s="133"/>
      <c r="J23" s="133"/>
      <c r="K23" s="134"/>
      <c r="L23" s="134"/>
      <c r="M23" s="134"/>
      <c r="N23" s="134">
        <v>400</v>
      </c>
      <c r="O23" s="134">
        <v>400</v>
      </c>
      <c r="P23" s="505">
        <v>234.91200000000001</v>
      </c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57"/>
      <c r="AG23" s="157"/>
      <c r="AH23" s="157"/>
      <c r="AI23" s="131"/>
      <c r="AJ23" s="131"/>
      <c r="AK23" s="131"/>
      <c r="AL23" s="136"/>
      <c r="AM23" s="136"/>
      <c r="AN23" s="136"/>
      <c r="AO23" s="131">
        <f>AL23+AI23+AF23+AC23+W23+Q23+N23+K23+H23+E23+T23</f>
        <v>400</v>
      </c>
      <c r="AP23" s="131">
        <f t="shared" si="1"/>
        <v>400</v>
      </c>
      <c r="AQ23" s="531">
        <f t="shared" si="1"/>
        <v>234.91200000000001</v>
      </c>
      <c r="AR23" s="324">
        <f t="shared" si="2"/>
        <v>0.58728000000000002</v>
      </c>
      <c r="AS23" s="136"/>
      <c r="AT23" s="136"/>
      <c r="AU23" s="136"/>
      <c r="AV23" s="538"/>
      <c r="AW23" s="136"/>
      <c r="AX23" s="103"/>
      <c r="AY23" s="158"/>
    </row>
    <row r="24" spans="1:51" x14ac:dyDescent="0.25">
      <c r="A24" s="76">
        <v>23</v>
      </c>
      <c r="B24" s="76">
        <v>520</v>
      </c>
      <c r="C24" s="76" t="s">
        <v>213</v>
      </c>
      <c r="D24" s="77" t="s">
        <v>458</v>
      </c>
      <c r="E24" s="133"/>
      <c r="F24" s="133"/>
      <c r="G24" s="133"/>
      <c r="H24" s="133"/>
      <c r="I24" s="133"/>
      <c r="J24" s="133"/>
      <c r="K24" s="134"/>
      <c r="L24" s="134"/>
      <c r="M24" s="134"/>
      <c r="N24" s="134">
        <v>150</v>
      </c>
      <c r="O24" s="134">
        <v>150</v>
      </c>
      <c r="P24" s="505">
        <v>92.97</v>
      </c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57"/>
      <c r="AG24" s="157"/>
      <c r="AH24" s="157"/>
      <c r="AI24" s="131"/>
      <c r="AJ24" s="131"/>
      <c r="AK24" s="131"/>
      <c r="AL24" s="136"/>
      <c r="AM24" s="136"/>
      <c r="AN24" s="136"/>
      <c r="AO24" s="131">
        <f>AL24+AI24+AF24+AC24+W24+Q24+N24+K24+H24+E24+T24</f>
        <v>150</v>
      </c>
      <c r="AP24" s="131">
        <f t="shared" si="1"/>
        <v>150</v>
      </c>
      <c r="AQ24" s="531">
        <f t="shared" si="1"/>
        <v>92.97</v>
      </c>
      <c r="AR24" s="324">
        <f t="shared" si="2"/>
        <v>0.61980000000000002</v>
      </c>
      <c r="AS24" s="136"/>
      <c r="AT24" s="136"/>
      <c r="AU24" s="136"/>
      <c r="AV24" s="538"/>
      <c r="AW24" s="136"/>
      <c r="AX24" s="103"/>
      <c r="AY24" s="158"/>
    </row>
    <row r="25" spans="1:51" x14ac:dyDescent="0.25">
      <c r="A25" s="76">
        <v>24</v>
      </c>
      <c r="B25" s="76">
        <v>537</v>
      </c>
      <c r="C25" s="76" t="s">
        <v>213</v>
      </c>
      <c r="D25" s="77" t="s">
        <v>459</v>
      </c>
      <c r="E25" s="133"/>
      <c r="F25" s="133"/>
      <c r="G25" s="133"/>
      <c r="H25" s="133"/>
      <c r="I25" s="133"/>
      <c r="J25" s="133"/>
      <c r="K25" s="134"/>
      <c r="L25" s="134"/>
      <c r="M25" s="134"/>
      <c r="N25" s="134">
        <v>1000</v>
      </c>
      <c r="O25" s="134">
        <v>1000</v>
      </c>
      <c r="P25" s="505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57"/>
      <c r="AG25" s="157"/>
      <c r="AH25" s="157"/>
      <c r="AI25" s="131"/>
      <c r="AJ25" s="131"/>
      <c r="AK25" s="131"/>
      <c r="AL25" s="136"/>
      <c r="AM25" s="136"/>
      <c r="AN25" s="136"/>
      <c r="AO25" s="131">
        <f>AL25+AI25+AF25+AC25+W25+Q25+N25+K25+H25+E25+T25</f>
        <v>1000</v>
      </c>
      <c r="AP25" s="131">
        <f t="shared" si="1"/>
        <v>1000</v>
      </c>
      <c r="AQ25" s="131">
        <f t="shared" si="1"/>
        <v>0</v>
      </c>
      <c r="AR25" s="324">
        <f t="shared" si="2"/>
        <v>0</v>
      </c>
      <c r="AS25" s="136"/>
      <c r="AT25" s="136"/>
      <c r="AU25" s="136"/>
      <c r="AV25" s="538"/>
      <c r="AW25" s="136"/>
      <c r="AX25" s="103"/>
      <c r="AY25" s="158"/>
    </row>
    <row r="26" spans="1:51" x14ac:dyDescent="0.25">
      <c r="A26" s="76">
        <v>25</v>
      </c>
      <c r="B26" s="76">
        <v>526</v>
      </c>
      <c r="C26" s="76" t="s">
        <v>213</v>
      </c>
      <c r="D26" s="77" t="s">
        <v>286</v>
      </c>
      <c r="E26" s="133"/>
      <c r="F26" s="133"/>
      <c r="G26" s="133"/>
      <c r="H26" s="133"/>
      <c r="I26" s="133"/>
      <c r="J26" s="133"/>
      <c r="K26" s="134"/>
      <c r="L26" s="134">
        <v>150</v>
      </c>
      <c r="M26" s="134">
        <v>150</v>
      </c>
      <c r="N26" s="133"/>
      <c r="O26" s="133"/>
      <c r="P26" s="133"/>
      <c r="Q26" s="133">
        <v>4000</v>
      </c>
      <c r="R26" s="133">
        <v>4110</v>
      </c>
      <c r="S26" s="133">
        <v>3455</v>
      </c>
      <c r="T26" s="133"/>
      <c r="U26" s="133"/>
      <c r="V26" s="133"/>
      <c r="W26" s="134"/>
      <c r="X26" s="134"/>
      <c r="Y26" s="134"/>
      <c r="Z26" s="134"/>
      <c r="AA26" s="134"/>
      <c r="AB26" s="134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1">
        <f t="shared" si="3"/>
        <v>4000</v>
      </c>
      <c r="AP26" s="131">
        <f t="shared" si="1"/>
        <v>4260</v>
      </c>
      <c r="AQ26" s="531">
        <f t="shared" si="1"/>
        <v>3605</v>
      </c>
      <c r="AR26" s="324">
        <f t="shared" si="2"/>
        <v>0.84624413145539901</v>
      </c>
      <c r="AS26" s="132"/>
      <c r="AT26" s="132"/>
      <c r="AU26" s="132"/>
      <c r="AV26" s="537"/>
      <c r="AW26" s="132"/>
      <c r="AX26" s="78"/>
      <c r="AY26" s="78">
        <v>2140</v>
      </c>
    </row>
    <row r="27" spans="1:51" x14ac:dyDescent="0.25">
      <c r="A27" s="76">
        <v>26</v>
      </c>
      <c r="B27" s="76">
        <v>527</v>
      </c>
      <c r="C27" s="76" t="s">
        <v>207</v>
      </c>
      <c r="D27" s="77" t="s">
        <v>460</v>
      </c>
      <c r="E27" s="137">
        <v>19138</v>
      </c>
      <c r="F27" s="137">
        <v>19138</v>
      </c>
      <c r="G27" s="137">
        <v>12743.718000000001</v>
      </c>
      <c r="H27" s="137">
        <v>1910</v>
      </c>
      <c r="I27" s="137">
        <v>1910</v>
      </c>
      <c r="J27" s="137">
        <v>1273.924</v>
      </c>
      <c r="K27" s="135"/>
      <c r="L27" s="135"/>
      <c r="M27" s="135"/>
      <c r="N27" s="137"/>
      <c r="O27" s="137"/>
      <c r="P27" s="137"/>
      <c r="Q27" s="137"/>
      <c r="R27" s="137"/>
      <c r="S27" s="137"/>
      <c r="T27" s="137"/>
      <c r="U27" s="137"/>
      <c r="V27" s="137"/>
      <c r="W27" s="135"/>
      <c r="X27" s="135"/>
      <c r="Y27" s="135"/>
      <c r="Z27" s="135"/>
      <c r="AA27" s="135"/>
      <c r="AB27" s="135"/>
      <c r="AC27" s="137"/>
      <c r="AD27" s="137"/>
      <c r="AE27" s="137"/>
      <c r="AF27" s="133"/>
      <c r="AG27" s="133"/>
      <c r="AH27" s="133"/>
      <c r="AI27" s="133"/>
      <c r="AJ27" s="133"/>
      <c r="AK27" s="133"/>
      <c r="AL27" s="133"/>
      <c r="AM27" s="133"/>
      <c r="AN27" s="133"/>
      <c r="AO27" s="131">
        <f t="shared" si="3"/>
        <v>21048</v>
      </c>
      <c r="AP27" s="131">
        <f t="shared" si="1"/>
        <v>21048</v>
      </c>
      <c r="AQ27" s="531">
        <f t="shared" si="1"/>
        <v>14017.642</v>
      </c>
      <c r="AR27" s="324">
        <f t="shared" si="2"/>
        <v>0.66598451159255034</v>
      </c>
      <c r="AS27" s="132"/>
      <c r="AT27" s="132"/>
      <c r="AU27" s="132"/>
      <c r="AV27" s="537"/>
      <c r="AW27" s="132"/>
      <c r="AX27" s="78">
        <v>8595</v>
      </c>
      <c r="AY27" s="78">
        <v>9949</v>
      </c>
    </row>
    <row r="28" spans="1:51" x14ac:dyDescent="0.25">
      <c r="A28" s="76">
        <v>27</v>
      </c>
      <c r="B28" s="76">
        <v>528</v>
      </c>
      <c r="C28" s="76" t="s">
        <v>207</v>
      </c>
      <c r="D28" s="77" t="s">
        <v>287</v>
      </c>
      <c r="E28" s="135">
        <v>67125</v>
      </c>
      <c r="F28" s="135">
        <v>67125</v>
      </c>
      <c r="G28" s="135">
        <v>49159.411999999997</v>
      </c>
      <c r="H28" s="135">
        <v>7128</v>
      </c>
      <c r="I28" s="135">
        <v>7128</v>
      </c>
      <c r="J28" s="135">
        <v>5292.6459999999997</v>
      </c>
      <c r="K28" s="135">
        <v>14669</v>
      </c>
      <c r="L28" s="135">
        <v>14669</v>
      </c>
      <c r="M28" s="135">
        <v>11823.007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5"/>
      <c r="X28" s="135"/>
      <c r="Y28" s="135"/>
      <c r="Z28" s="135"/>
      <c r="AA28" s="135"/>
      <c r="AB28" s="135"/>
      <c r="AC28" s="137">
        <v>2383</v>
      </c>
      <c r="AD28" s="137">
        <v>2383</v>
      </c>
      <c r="AE28" s="137">
        <v>1327.28</v>
      </c>
      <c r="AF28" s="133"/>
      <c r="AG28" s="133"/>
      <c r="AH28" s="133"/>
      <c r="AI28" s="133"/>
      <c r="AJ28" s="133"/>
      <c r="AK28" s="133"/>
      <c r="AL28" s="133"/>
      <c r="AM28" s="133"/>
      <c r="AN28" s="133"/>
      <c r="AO28" s="131">
        <f t="shared" si="3"/>
        <v>91305</v>
      </c>
      <c r="AP28" s="131">
        <f t="shared" si="1"/>
        <v>91305</v>
      </c>
      <c r="AQ28" s="531">
        <f t="shared" si="1"/>
        <v>67602.345000000001</v>
      </c>
      <c r="AR28" s="324">
        <f t="shared" si="2"/>
        <v>0.7404013471332348</v>
      </c>
      <c r="AS28" s="132"/>
      <c r="AT28" s="132"/>
      <c r="AU28" s="132"/>
      <c r="AV28" s="537"/>
      <c r="AW28" s="132"/>
      <c r="AX28" s="78">
        <v>120201</v>
      </c>
      <c r="AY28" s="78">
        <v>69860</v>
      </c>
    </row>
    <row r="29" spans="1:51" x14ac:dyDescent="0.25">
      <c r="A29" s="76">
        <v>28</v>
      </c>
      <c r="B29" s="76">
        <v>529</v>
      </c>
      <c r="C29" s="76" t="s">
        <v>207</v>
      </c>
      <c r="D29" s="77" t="s">
        <v>332</v>
      </c>
      <c r="E29" s="137"/>
      <c r="F29" s="137"/>
      <c r="G29" s="137"/>
      <c r="H29" s="137"/>
      <c r="I29" s="137"/>
      <c r="J29" s="137"/>
      <c r="K29" s="135">
        <v>100</v>
      </c>
      <c r="L29" s="135">
        <v>100</v>
      </c>
      <c r="M29" s="135"/>
      <c r="N29" s="137"/>
      <c r="O29" s="137"/>
      <c r="P29" s="137"/>
      <c r="Q29" s="137"/>
      <c r="R29" s="137"/>
      <c r="S29" s="137"/>
      <c r="T29" s="137">
        <v>3000</v>
      </c>
      <c r="U29" s="137">
        <v>3000</v>
      </c>
      <c r="V29" s="506">
        <v>2617.3420000000001</v>
      </c>
      <c r="W29" s="137"/>
      <c r="X29" s="137"/>
      <c r="Y29" s="137"/>
      <c r="Z29" s="137"/>
      <c r="AA29" s="137"/>
      <c r="AB29" s="137"/>
      <c r="AC29" s="137"/>
      <c r="AD29" s="137"/>
      <c r="AE29" s="137"/>
      <c r="AF29" s="133"/>
      <c r="AG29" s="133"/>
      <c r="AH29" s="133"/>
      <c r="AI29" s="133"/>
      <c r="AJ29" s="133"/>
      <c r="AK29" s="133"/>
      <c r="AL29" s="133">
        <v>10927.733</v>
      </c>
      <c r="AM29" s="133">
        <v>10927.733</v>
      </c>
      <c r="AN29" s="133">
        <v>10927.733</v>
      </c>
      <c r="AO29" s="131">
        <f t="shared" si="3"/>
        <v>14027.733</v>
      </c>
      <c r="AP29" s="131">
        <f t="shared" si="1"/>
        <v>14027.733</v>
      </c>
      <c r="AQ29" s="531">
        <f t="shared" si="1"/>
        <v>13545.075000000001</v>
      </c>
      <c r="AR29" s="324">
        <f t="shared" si="2"/>
        <v>0.96559258719851604</v>
      </c>
      <c r="AS29" s="132"/>
      <c r="AT29" s="132"/>
      <c r="AU29" s="132"/>
      <c r="AV29" s="537"/>
      <c r="AW29" s="132"/>
      <c r="AX29" s="78"/>
      <c r="AY29" s="78"/>
    </row>
    <row r="30" spans="1:51" x14ac:dyDescent="0.25">
      <c r="A30" s="76">
        <v>29</v>
      </c>
      <c r="B30" s="76">
        <v>535</v>
      </c>
      <c r="C30" s="76" t="s">
        <v>207</v>
      </c>
      <c r="D30" s="77" t="s">
        <v>288</v>
      </c>
      <c r="E30" s="137">
        <v>1600</v>
      </c>
      <c r="F30" s="137">
        <v>1750</v>
      </c>
      <c r="G30" s="137">
        <v>3313.8270000000002</v>
      </c>
      <c r="H30" s="137">
        <v>312</v>
      </c>
      <c r="I30" s="137">
        <v>373.1</v>
      </c>
      <c r="J30" s="137">
        <v>624.78700000000003</v>
      </c>
      <c r="K30" s="135">
        <v>16672</v>
      </c>
      <c r="L30" s="135">
        <v>16847.259999999998</v>
      </c>
      <c r="M30" s="135">
        <v>11921.324000000001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>
        <v>165.70599999999999</v>
      </c>
      <c r="AF30" s="133"/>
      <c r="AG30" s="133"/>
      <c r="AH30" s="133"/>
      <c r="AI30" s="133"/>
      <c r="AJ30" s="133"/>
      <c r="AK30" s="133"/>
      <c r="AL30" s="133"/>
      <c r="AM30" s="133"/>
      <c r="AN30" s="133"/>
      <c r="AO30" s="131">
        <f t="shared" si="3"/>
        <v>18584</v>
      </c>
      <c r="AP30" s="131">
        <f t="shared" si="1"/>
        <v>18970.359999999997</v>
      </c>
      <c r="AQ30" s="531">
        <f t="shared" si="1"/>
        <v>16025.644000000002</v>
      </c>
      <c r="AR30" s="324">
        <f t="shared" si="2"/>
        <v>0.84477279292538487</v>
      </c>
      <c r="AS30" s="132"/>
      <c r="AT30" s="132"/>
      <c r="AU30" s="132"/>
      <c r="AV30" s="537"/>
      <c r="AW30" s="132"/>
      <c r="AX30" s="78"/>
      <c r="AY30" s="78">
        <v>29133</v>
      </c>
    </row>
    <row r="31" spans="1:51" x14ac:dyDescent="0.25">
      <c r="A31" s="76">
        <v>30</v>
      </c>
      <c r="B31" s="76">
        <v>506</v>
      </c>
      <c r="C31" s="76" t="s">
        <v>207</v>
      </c>
      <c r="D31" s="77" t="s">
        <v>461</v>
      </c>
      <c r="E31" s="137"/>
      <c r="F31" s="137"/>
      <c r="G31" s="137"/>
      <c r="H31" s="137"/>
      <c r="I31" s="137"/>
      <c r="J31" s="137"/>
      <c r="K31" s="135"/>
      <c r="L31" s="135"/>
      <c r="M31" s="135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3">
        <v>2218</v>
      </c>
      <c r="AG31" s="133">
        <v>2218</v>
      </c>
      <c r="AH31" s="133">
        <f>1211.58+1583.69</f>
        <v>2795.27</v>
      </c>
      <c r="AI31" s="133"/>
      <c r="AJ31" s="133"/>
      <c r="AK31" s="133"/>
      <c r="AL31" s="133"/>
      <c r="AM31" s="133"/>
      <c r="AN31" s="133"/>
      <c r="AO31" s="131">
        <f t="shared" si="3"/>
        <v>2218</v>
      </c>
      <c r="AP31" s="131">
        <f t="shared" si="1"/>
        <v>2218</v>
      </c>
      <c r="AQ31" s="531">
        <f t="shared" si="1"/>
        <v>2795.27</v>
      </c>
      <c r="AR31" s="324">
        <f t="shared" si="2"/>
        <v>1.2602660054102794</v>
      </c>
      <c r="AS31" s="132"/>
      <c r="AT31" s="132"/>
      <c r="AU31" s="132"/>
      <c r="AV31" s="537"/>
      <c r="AW31" s="132"/>
      <c r="AX31" s="78"/>
      <c r="AY31" s="78"/>
    </row>
    <row r="32" spans="1:51" x14ac:dyDescent="0.25">
      <c r="A32" s="76">
        <v>31</v>
      </c>
      <c r="B32" s="76">
        <v>538</v>
      </c>
      <c r="C32" s="76" t="s">
        <v>207</v>
      </c>
      <c r="D32" s="77" t="s">
        <v>289</v>
      </c>
      <c r="E32" s="137"/>
      <c r="F32" s="137"/>
      <c r="G32" s="137"/>
      <c r="H32" s="137"/>
      <c r="I32" s="137"/>
      <c r="J32" s="137"/>
      <c r="K32" s="135">
        <v>1440</v>
      </c>
      <c r="L32" s="135">
        <v>1500</v>
      </c>
      <c r="M32" s="135">
        <v>1020</v>
      </c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>
        <v>500</v>
      </c>
      <c r="AD32" s="137">
        <v>500</v>
      </c>
      <c r="AE32" s="137">
        <v>453</v>
      </c>
      <c r="AF32" s="133"/>
      <c r="AG32" s="133"/>
      <c r="AH32" s="133"/>
      <c r="AI32" s="133"/>
      <c r="AJ32" s="133"/>
      <c r="AK32" s="133"/>
      <c r="AL32" s="133"/>
      <c r="AM32" s="133"/>
      <c r="AN32" s="133"/>
      <c r="AO32" s="131">
        <f t="shared" si="3"/>
        <v>1940</v>
      </c>
      <c r="AP32" s="131">
        <f t="shared" si="1"/>
        <v>2000</v>
      </c>
      <c r="AQ32" s="531">
        <f t="shared" si="1"/>
        <v>1473</v>
      </c>
      <c r="AR32" s="324">
        <f t="shared" si="2"/>
        <v>0.73650000000000004</v>
      </c>
      <c r="AS32" s="132"/>
      <c r="AT32" s="132"/>
      <c r="AU32" s="132"/>
      <c r="AV32" s="537"/>
      <c r="AW32" s="132"/>
      <c r="AX32" s="78"/>
      <c r="AY32" s="78"/>
    </row>
    <row r="33" spans="1:52" x14ac:dyDescent="0.25">
      <c r="A33" s="76">
        <v>32</v>
      </c>
      <c r="B33" s="76">
        <v>539</v>
      </c>
      <c r="C33" s="76" t="s">
        <v>207</v>
      </c>
      <c r="D33" s="77" t="s">
        <v>308</v>
      </c>
      <c r="E33" s="137"/>
      <c r="F33" s="137"/>
      <c r="G33" s="137"/>
      <c r="H33" s="137"/>
      <c r="I33" s="137"/>
      <c r="J33" s="137"/>
      <c r="K33" s="135">
        <v>147</v>
      </c>
      <c r="L33" s="135">
        <v>147</v>
      </c>
      <c r="M33" s="135">
        <v>50.408000000000001</v>
      </c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3"/>
      <c r="AG33" s="133"/>
      <c r="AH33" s="133"/>
      <c r="AI33" s="133"/>
      <c r="AJ33" s="133"/>
      <c r="AK33" s="133"/>
      <c r="AL33" s="133"/>
      <c r="AM33" s="133"/>
      <c r="AN33" s="133"/>
      <c r="AO33" s="131">
        <f t="shared" si="3"/>
        <v>147</v>
      </c>
      <c r="AP33" s="131">
        <f t="shared" si="1"/>
        <v>147</v>
      </c>
      <c r="AQ33" s="531">
        <f t="shared" si="1"/>
        <v>50.408000000000001</v>
      </c>
      <c r="AR33" s="324">
        <f t="shared" si="2"/>
        <v>0.34291156462585037</v>
      </c>
      <c r="AS33" s="132"/>
      <c r="AT33" s="132"/>
      <c r="AU33" s="132"/>
      <c r="AV33" s="537"/>
      <c r="AW33" s="132"/>
      <c r="AX33" s="78"/>
      <c r="AY33" s="78">
        <v>3</v>
      </c>
    </row>
    <row r="34" spans="1:52" x14ac:dyDescent="0.25">
      <c r="A34" s="76">
        <v>33</v>
      </c>
      <c r="B34" s="76">
        <v>541</v>
      </c>
      <c r="C34" s="76" t="s">
        <v>213</v>
      </c>
      <c r="D34" s="77" t="s">
        <v>290</v>
      </c>
      <c r="E34" s="137">
        <v>275</v>
      </c>
      <c r="F34" s="137">
        <v>275</v>
      </c>
      <c r="G34" s="137"/>
      <c r="H34" s="137">
        <v>49</v>
      </c>
      <c r="I34" s="137">
        <v>49</v>
      </c>
      <c r="J34" s="137"/>
      <c r="K34" s="135">
        <v>60</v>
      </c>
      <c r="L34" s="135">
        <v>60</v>
      </c>
      <c r="M34" s="135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3"/>
      <c r="AG34" s="133"/>
      <c r="AH34" s="133"/>
      <c r="AI34" s="133"/>
      <c r="AJ34" s="133"/>
      <c r="AK34" s="133"/>
      <c r="AL34" s="133"/>
      <c r="AM34" s="133"/>
      <c r="AN34" s="133"/>
      <c r="AO34" s="131">
        <f t="shared" si="3"/>
        <v>384</v>
      </c>
      <c r="AP34" s="131">
        <f t="shared" si="1"/>
        <v>384</v>
      </c>
      <c r="AQ34" s="131">
        <f t="shared" si="1"/>
        <v>0</v>
      </c>
      <c r="AR34" s="324">
        <f t="shared" si="2"/>
        <v>0</v>
      </c>
      <c r="AS34" s="132"/>
      <c r="AT34" s="132"/>
      <c r="AU34" s="132"/>
      <c r="AV34" s="537"/>
      <c r="AW34" s="132"/>
      <c r="AX34" s="78"/>
      <c r="AY34" s="78">
        <v>66</v>
      </c>
    </row>
    <row r="35" spans="1:52" x14ac:dyDescent="0.25">
      <c r="A35" s="76">
        <v>34</v>
      </c>
      <c r="B35" s="76">
        <v>542</v>
      </c>
      <c r="C35" s="76" t="s">
        <v>207</v>
      </c>
      <c r="D35" s="77" t="s">
        <v>324</v>
      </c>
      <c r="E35" s="137"/>
      <c r="F35" s="137"/>
      <c r="G35" s="137"/>
      <c r="H35" s="137"/>
      <c r="I35" s="137"/>
      <c r="J35" s="137"/>
      <c r="K35" s="135"/>
      <c r="L35" s="135"/>
      <c r="M35" s="135"/>
      <c r="N35" s="137"/>
      <c r="O35" s="137"/>
      <c r="P35" s="137"/>
      <c r="Q35" s="137">
        <v>17445</v>
      </c>
      <c r="R35" s="137">
        <v>19965</v>
      </c>
      <c r="S35" s="137">
        <v>13809.545</v>
      </c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3"/>
      <c r="AG35" s="133"/>
      <c r="AH35" s="133"/>
      <c r="AI35" s="133"/>
      <c r="AJ35" s="133"/>
      <c r="AK35" s="133"/>
      <c r="AL35" s="133"/>
      <c r="AM35" s="133"/>
      <c r="AN35" s="133"/>
      <c r="AO35" s="131">
        <f t="shared" si="3"/>
        <v>17445</v>
      </c>
      <c r="AP35" s="131">
        <f t="shared" si="1"/>
        <v>19965</v>
      </c>
      <c r="AQ35" s="531">
        <f t="shared" si="1"/>
        <v>13809.545</v>
      </c>
      <c r="AR35" s="324">
        <f t="shared" si="2"/>
        <v>0.69168770348109188</v>
      </c>
      <c r="AS35" s="132"/>
      <c r="AT35" s="132"/>
      <c r="AU35" s="132"/>
      <c r="AV35" s="537"/>
      <c r="AW35" s="132"/>
      <c r="AX35" s="78"/>
      <c r="AY35" s="78">
        <v>12020</v>
      </c>
      <c r="AZ35" s="79">
        <f>SUM(AZ21:AZ34)</f>
        <v>0</v>
      </c>
    </row>
    <row r="36" spans="1:52" x14ac:dyDescent="0.25">
      <c r="A36" s="76">
        <v>35</v>
      </c>
      <c r="B36" s="76">
        <v>543</v>
      </c>
      <c r="C36" s="76" t="s">
        <v>207</v>
      </c>
      <c r="D36" s="77" t="s">
        <v>291</v>
      </c>
      <c r="E36" s="137"/>
      <c r="F36" s="137"/>
      <c r="G36" s="137"/>
      <c r="H36" s="137"/>
      <c r="I36" s="137"/>
      <c r="J36" s="137"/>
      <c r="K36" s="135">
        <v>12394</v>
      </c>
      <c r="L36" s="135">
        <v>12394</v>
      </c>
      <c r="M36" s="135">
        <v>6286.69</v>
      </c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3"/>
      <c r="AG36" s="133"/>
      <c r="AH36" s="133"/>
      <c r="AI36" s="133"/>
      <c r="AJ36" s="133"/>
      <c r="AK36" s="133"/>
      <c r="AL36" s="133"/>
      <c r="AM36" s="133"/>
      <c r="AN36" s="133"/>
      <c r="AO36" s="131">
        <f t="shared" si="3"/>
        <v>12394</v>
      </c>
      <c r="AP36" s="131">
        <f t="shared" si="1"/>
        <v>12394</v>
      </c>
      <c r="AQ36" s="531">
        <f t="shared" si="1"/>
        <v>6286.69</v>
      </c>
      <c r="AR36" s="324">
        <f t="shared" si="2"/>
        <v>0.50723656608036138</v>
      </c>
      <c r="AS36" s="132"/>
      <c r="AT36" s="132"/>
      <c r="AU36" s="132"/>
      <c r="AV36" s="537"/>
      <c r="AW36" s="132"/>
      <c r="AX36" s="78"/>
      <c r="AY36" s="78">
        <v>13436</v>
      </c>
    </row>
    <row r="37" spans="1:52" x14ac:dyDescent="0.25">
      <c r="A37" s="76">
        <v>36</v>
      </c>
      <c r="B37" s="76">
        <v>544</v>
      </c>
      <c r="C37" s="76" t="s">
        <v>207</v>
      </c>
      <c r="D37" s="77" t="s">
        <v>292</v>
      </c>
      <c r="E37" s="137"/>
      <c r="F37" s="137"/>
      <c r="G37" s="137"/>
      <c r="H37" s="137"/>
      <c r="I37" s="137"/>
      <c r="J37" s="137"/>
      <c r="K37" s="135">
        <v>32263</v>
      </c>
      <c r="L37" s="135">
        <v>32269.585999999999</v>
      </c>
      <c r="M37" s="135">
        <v>17654.181</v>
      </c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3"/>
      <c r="AG37" s="133"/>
      <c r="AH37" s="133"/>
      <c r="AI37" s="133"/>
      <c r="AJ37" s="133"/>
      <c r="AK37" s="133"/>
      <c r="AL37" s="133"/>
      <c r="AM37" s="133"/>
      <c r="AN37" s="133"/>
      <c r="AO37" s="131">
        <f t="shared" si="3"/>
        <v>32263</v>
      </c>
      <c r="AP37" s="131">
        <f t="shared" si="1"/>
        <v>32269.585999999999</v>
      </c>
      <c r="AQ37" s="531">
        <f t="shared" si="1"/>
        <v>17654.181</v>
      </c>
      <c r="AR37" s="324">
        <f t="shared" si="2"/>
        <v>0.54708421112065087</v>
      </c>
      <c r="AS37" s="132"/>
      <c r="AT37" s="132"/>
      <c r="AU37" s="132"/>
      <c r="AV37" s="537"/>
      <c r="AW37" s="132"/>
      <c r="AX37" s="78"/>
      <c r="AY37" s="78">
        <v>42409</v>
      </c>
    </row>
    <row r="38" spans="1:52" x14ac:dyDescent="0.25">
      <c r="A38" s="76">
        <v>37</v>
      </c>
      <c r="B38" s="76">
        <v>545</v>
      </c>
      <c r="C38" s="76" t="s">
        <v>207</v>
      </c>
      <c r="D38" s="77" t="s">
        <v>326</v>
      </c>
      <c r="E38" s="137">
        <v>73</v>
      </c>
      <c r="F38" s="137">
        <v>605.55200000000002</v>
      </c>
      <c r="G38" s="137">
        <v>73.034000000000006</v>
      </c>
      <c r="H38" s="137">
        <v>12.8</v>
      </c>
      <c r="I38" s="137">
        <v>116.648</v>
      </c>
      <c r="J38" s="137">
        <v>12.817</v>
      </c>
      <c r="K38" s="135">
        <v>1047.7</v>
      </c>
      <c r="L38" s="135">
        <v>1047.7</v>
      </c>
      <c r="M38" s="135">
        <v>1047.673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3"/>
      <c r="AG38" s="133"/>
      <c r="AH38" s="133"/>
      <c r="AI38" s="133"/>
      <c r="AJ38" s="133"/>
      <c r="AK38" s="133"/>
      <c r="AL38" s="133"/>
      <c r="AM38" s="133"/>
      <c r="AN38" s="133"/>
      <c r="AO38" s="131">
        <f t="shared" si="3"/>
        <v>1133.5</v>
      </c>
      <c r="AP38" s="131">
        <f t="shared" si="1"/>
        <v>1769.9</v>
      </c>
      <c r="AQ38" s="531">
        <f t="shared" si="1"/>
        <v>1133.5239999999999</v>
      </c>
      <c r="AR38" s="324">
        <f t="shared" si="2"/>
        <v>0.64044522289394867</v>
      </c>
      <c r="AS38" s="132"/>
      <c r="AT38" s="132"/>
      <c r="AU38" s="132"/>
      <c r="AV38" s="537"/>
      <c r="AW38" s="132"/>
      <c r="AX38" s="78"/>
      <c r="AY38" s="78"/>
    </row>
    <row r="39" spans="1:52" x14ac:dyDescent="0.25">
      <c r="A39" s="76">
        <v>38</v>
      </c>
      <c r="B39" s="76"/>
      <c r="C39" s="76" t="s">
        <v>207</v>
      </c>
      <c r="D39" s="77" t="s">
        <v>462</v>
      </c>
      <c r="E39" s="137"/>
      <c r="F39" s="137"/>
      <c r="G39" s="137"/>
      <c r="H39" s="137"/>
      <c r="I39" s="137"/>
      <c r="J39" s="137"/>
      <c r="K39" s="135"/>
      <c r="L39" s="135"/>
      <c r="M39" s="135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>
        <v>1800</v>
      </c>
      <c r="AD39" s="137">
        <v>1800</v>
      </c>
      <c r="AE39" s="137">
        <v>1662</v>
      </c>
      <c r="AF39" s="133"/>
      <c r="AG39" s="133"/>
      <c r="AH39" s="133"/>
      <c r="AI39" s="133"/>
      <c r="AJ39" s="133"/>
      <c r="AK39" s="133"/>
      <c r="AL39" s="133"/>
      <c r="AM39" s="133"/>
      <c r="AN39" s="133"/>
      <c r="AO39" s="131">
        <f t="shared" si="3"/>
        <v>1800</v>
      </c>
      <c r="AP39" s="131">
        <f t="shared" si="1"/>
        <v>1800</v>
      </c>
      <c r="AQ39" s="531">
        <f t="shared" si="1"/>
        <v>1662</v>
      </c>
      <c r="AR39" s="324">
        <f t="shared" si="2"/>
        <v>0.92333333333333334</v>
      </c>
      <c r="AS39" s="132"/>
      <c r="AT39" s="132"/>
      <c r="AU39" s="132"/>
      <c r="AV39" s="537"/>
      <c r="AW39" s="132"/>
      <c r="AX39" s="78"/>
      <c r="AY39" s="78"/>
    </row>
    <row r="40" spans="1:52" x14ac:dyDescent="0.25">
      <c r="A40" s="76">
        <v>39</v>
      </c>
      <c r="B40" s="76">
        <v>546</v>
      </c>
      <c r="C40" s="76" t="s">
        <v>207</v>
      </c>
      <c r="D40" s="154" t="s">
        <v>329</v>
      </c>
      <c r="E40" s="137"/>
      <c r="F40" s="137"/>
      <c r="G40" s="137"/>
      <c r="H40" s="137"/>
      <c r="I40" s="137"/>
      <c r="J40" s="137"/>
      <c r="K40" s="135">
        <v>1128</v>
      </c>
      <c r="L40" s="135">
        <v>1128</v>
      </c>
      <c r="M40" s="135">
        <v>563.73599999999999</v>
      </c>
      <c r="N40" s="137"/>
      <c r="O40" s="137"/>
      <c r="P40" s="137"/>
      <c r="Q40" s="137"/>
      <c r="R40" s="137"/>
      <c r="S40" s="137"/>
      <c r="T40" s="137">
        <v>2903</v>
      </c>
      <c r="U40" s="137">
        <v>2903</v>
      </c>
      <c r="V40" s="137">
        <v>2874.6329999999998</v>
      </c>
      <c r="W40" s="137"/>
      <c r="X40" s="137"/>
      <c r="Y40" s="137"/>
      <c r="Z40" s="137"/>
      <c r="AA40" s="137"/>
      <c r="AB40" s="137"/>
      <c r="AC40" s="137"/>
      <c r="AD40" s="137"/>
      <c r="AE40" s="137"/>
      <c r="AF40" s="133"/>
      <c r="AG40" s="133"/>
      <c r="AH40" s="133"/>
      <c r="AI40" s="133"/>
      <c r="AJ40" s="133"/>
      <c r="AK40" s="133"/>
      <c r="AL40" s="133"/>
      <c r="AM40" s="133"/>
      <c r="AN40" s="133"/>
      <c r="AO40" s="131">
        <f t="shared" si="3"/>
        <v>4031</v>
      </c>
      <c r="AP40" s="131">
        <f t="shared" si="1"/>
        <v>4031</v>
      </c>
      <c r="AQ40" s="531">
        <f t="shared" si="1"/>
        <v>3438.3689999999997</v>
      </c>
      <c r="AR40" s="324">
        <f t="shared" si="2"/>
        <v>0.85298164227238893</v>
      </c>
      <c r="AS40" s="132"/>
      <c r="AT40" s="132"/>
      <c r="AU40" s="132"/>
      <c r="AV40" s="537"/>
      <c r="AW40" s="132"/>
      <c r="AX40" s="78"/>
      <c r="AY40" s="78">
        <v>706</v>
      </c>
    </row>
    <row r="41" spans="1:52" x14ac:dyDescent="0.25">
      <c r="A41" s="76">
        <v>40</v>
      </c>
      <c r="B41" s="76">
        <v>547</v>
      </c>
      <c r="C41" s="76" t="s">
        <v>213</v>
      </c>
      <c r="D41" s="77" t="s">
        <v>328</v>
      </c>
      <c r="E41" s="137"/>
      <c r="F41" s="137"/>
      <c r="G41" s="137"/>
      <c r="H41" s="137"/>
      <c r="I41" s="137"/>
      <c r="J41" s="137"/>
      <c r="K41" s="135">
        <v>446</v>
      </c>
      <c r="L41" s="135">
        <v>446</v>
      </c>
      <c r="M41" s="135">
        <v>604.005</v>
      </c>
      <c r="N41" s="137"/>
      <c r="O41" s="137"/>
      <c r="P41" s="137"/>
      <c r="Q41" s="137">
        <v>250</v>
      </c>
      <c r="R41" s="137">
        <v>250</v>
      </c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3"/>
      <c r="AG41" s="133"/>
      <c r="AH41" s="133"/>
      <c r="AI41" s="133"/>
      <c r="AJ41" s="133"/>
      <c r="AK41" s="133"/>
      <c r="AL41" s="133"/>
      <c r="AM41" s="133"/>
      <c r="AN41" s="133"/>
      <c r="AO41" s="131">
        <f t="shared" si="3"/>
        <v>696</v>
      </c>
      <c r="AP41" s="131">
        <f t="shared" si="1"/>
        <v>696</v>
      </c>
      <c r="AQ41" s="531">
        <f t="shared" si="1"/>
        <v>604.005</v>
      </c>
      <c r="AR41" s="324">
        <f t="shared" si="2"/>
        <v>0.86782327586206898</v>
      </c>
      <c r="AS41" s="132"/>
      <c r="AT41" s="132"/>
      <c r="AU41" s="132"/>
      <c r="AV41" s="537"/>
      <c r="AW41" s="132"/>
      <c r="AX41" s="78"/>
      <c r="AY41" s="78">
        <v>1171</v>
      </c>
    </row>
    <row r="42" spans="1:52" x14ac:dyDescent="0.25">
      <c r="A42" s="76">
        <v>41</v>
      </c>
      <c r="B42" s="76">
        <v>552</v>
      </c>
      <c r="C42" s="76" t="s">
        <v>207</v>
      </c>
      <c r="D42" s="77" t="s">
        <v>327</v>
      </c>
      <c r="E42" s="137"/>
      <c r="F42" s="137"/>
      <c r="G42" s="137"/>
      <c r="H42" s="137"/>
      <c r="I42" s="137"/>
      <c r="J42" s="137"/>
      <c r="K42" s="135">
        <v>410</v>
      </c>
      <c r="L42" s="135">
        <v>410</v>
      </c>
      <c r="M42" s="135">
        <v>233.971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3"/>
      <c r="AG42" s="133"/>
      <c r="AH42" s="133"/>
      <c r="AI42" s="133"/>
      <c r="AJ42" s="133"/>
      <c r="AK42" s="133"/>
      <c r="AL42" s="133"/>
      <c r="AM42" s="133"/>
      <c r="AN42" s="133"/>
      <c r="AO42" s="131">
        <f t="shared" si="3"/>
        <v>410</v>
      </c>
      <c r="AP42" s="131">
        <f t="shared" si="1"/>
        <v>410</v>
      </c>
      <c r="AQ42" s="531">
        <f t="shared" si="1"/>
        <v>233.971</v>
      </c>
      <c r="AR42" s="324">
        <f t="shared" si="2"/>
        <v>0.57066097560975615</v>
      </c>
      <c r="AS42" s="132"/>
      <c r="AT42" s="132"/>
      <c r="AU42" s="132"/>
      <c r="AV42" s="537"/>
      <c r="AW42" s="132"/>
      <c r="AX42" s="78"/>
      <c r="AY42" s="78">
        <v>1551</v>
      </c>
    </row>
    <row r="43" spans="1:52" x14ac:dyDescent="0.25">
      <c r="A43" s="76">
        <v>42</v>
      </c>
      <c r="B43" s="76">
        <v>553</v>
      </c>
      <c r="C43" s="76" t="s">
        <v>207</v>
      </c>
      <c r="D43" s="77" t="s">
        <v>309</v>
      </c>
      <c r="E43" s="137"/>
      <c r="F43" s="137"/>
      <c r="G43" s="137"/>
      <c r="H43" s="137"/>
      <c r="I43" s="137"/>
      <c r="J43" s="137"/>
      <c r="K43" s="135">
        <v>626</v>
      </c>
      <c r="L43" s="135">
        <v>626</v>
      </c>
      <c r="M43" s="135">
        <v>221.488</v>
      </c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3"/>
      <c r="AG43" s="133"/>
      <c r="AH43" s="133"/>
      <c r="AI43" s="133"/>
      <c r="AJ43" s="133"/>
      <c r="AK43" s="133"/>
      <c r="AL43" s="133"/>
      <c r="AM43" s="133"/>
      <c r="AN43" s="133"/>
      <c r="AO43" s="131">
        <f t="shared" si="3"/>
        <v>626</v>
      </c>
      <c r="AP43" s="131">
        <f t="shared" si="1"/>
        <v>626</v>
      </c>
      <c r="AQ43" s="531">
        <f t="shared" si="1"/>
        <v>221.488</v>
      </c>
      <c r="AR43" s="324">
        <f t="shared" si="2"/>
        <v>0.35381469648562303</v>
      </c>
      <c r="AS43" s="132"/>
      <c r="AT43" s="132"/>
      <c r="AU43" s="132"/>
      <c r="AV43" s="537"/>
      <c r="AW43" s="132"/>
      <c r="AX43" s="78"/>
      <c r="AY43" s="78">
        <v>4552</v>
      </c>
    </row>
    <row r="44" spans="1:52" x14ac:dyDescent="0.25">
      <c r="A44" s="76">
        <v>43</v>
      </c>
      <c r="B44" s="76">
        <v>548</v>
      </c>
      <c r="C44" s="76" t="s">
        <v>207</v>
      </c>
      <c r="D44" s="77" t="s">
        <v>331</v>
      </c>
      <c r="E44" s="137"/>
      <c r="F44" s="137"/>
      <c r="G44" s="137"/>
      <c r="H44" s="137"/>
      <c r="I44" s="137"/>
      <c r="J44" s="137"/>
      <c r="K44" s="135">
        <v>500</v>
      </c>
      <c r="L44" s="135">
        <v>500</v>
      </c>
      <c r="M44" s="135"/>
      <c r="N44" s="137"/>
      <c r="O44" s="137"/>
      <c r="P44" s="137"/>
      <c r="Q44" s="137">
        <v>5285</v>
      </c>
      <c r="R44" s="137">
        <v>5285</v>
      </c>
      <c r="S44" s="137">
        <v>71.183000000000007</v>
      </c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3"/>
      <c r="AG44" s="133"/>
      <c r="AH44" s="133"/>
      <c r="AI44" s="133"/>
      <c r="AJ44" s="133"/>
      <c r="AK44" s="133"/>
      <c r="AL44" s="133"/>
      <c r="AM44" s="133"/>
      <c r="AN44" s="133"/>
      <c r="AO44" s="131">
        <f t="shared" si="3"/>
        <v>5785</v>
      </c>
      <c r="AP44" s="131">
        <f t="shared" si="1"/>
        <v>5785</v>
      </c>
      <c r="AQ44" s="531">
        <f t="shared" si="1"/>
        <v>71.183000000000007</v>
      </c>
      <c r="AR44" s="324">
        <f t="shared" si="2"/>
        <v>1.2304753673293001E-2</v>
      </c>
      <c r="AS44" s="132"/>
      <c r="AT44" s="132"/>
      <c r="AU44" s="132"/>
      <c r="AV44" s="537"/>
      <c r="AW44" s="132"/>
      <c r="AX44" s="78"/>
      <c r="AY44" s="78"/>
    </row>
    <row r="45" spans="1:52" ht="15.75" x14ac:dyDescent="0.25">
      <c r="A45" s="76">
        <v>44</v>
      </c>
      <c r="B45" s="76"/>
      <c r="C45" s="76" t="s">
        <v>207</v>
      </c>
      <c r="D45" s="77" t="s">
        <v>463</v>
      </c>
      <c r="E45" s="137"/>
      <c r="F45" s="137"/>
      <c r="G45" s="137"/>
      <c r="H45" s="137"/>
      <c r="I45" s="137"/>
      <c r="J45" s="137"/>
      <c r="K45" s="135"/>
      <c r="L45" s="135"/>
      <c r="M45" s="135"/>
      <c r="N45" s="137"/>
      <c r="O45" s="137"/>
      <c r="P45" s="137"/>
      <c r="Q45" s="137">
        <v>12.1</v>
      </c>
      <c r="R45" s="137">
        <v>12.1</v>
      </c>
      <c r="S45" s="137">
        <v>12.1</v>
      </c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3"/>
      <c r="AG45" s="133"/>
      <c r="AH45" s="133"/>
      <c r="AI45" s="133"/>
      <c r="AJ45" s="133"/>
      <c r="AK45" s="133"/>
      <c r="AL45" s="133"/>
      <c r="AM45" s="133"/>
      <c r="AN45" s="133"/>
      <c r="AO45" s="131">
        <f t="shared" si="3"/>
        <v>12.1</v>
      </c>
      <c r="AP45" s="131">
        <f t="shared" si="1"/>
        <v>12.1</v>
      </c>
      <c r="AQ45" s="531">
        <f t="shared" si="1"/>
        <v>12.1</v>
      </c>
      <c r="AR45" s="324">
        <f t="shared" si="2"/>
        <v>1</v>
      </c>
      <c r="AS45" s="132"/>
      <c r="AT45" s="132"/>
      <c r="AU45" s="132"/>
      <c r="AV45" s="537"/>
      <c r="AW45" s="132"/>
      <c r="AX45" s="78"/>
      <c r="AY45" s="78"/>
    </row>
    <row r="46" spans="1:52" x14ac:dyDescent="0.25">
      <c r="A46" s="76">
        <v>45</v>
      </c>
      <c r="B46" s="76">
        <v>549</v>
      </c>
      <c r="C46" s="76" t="s">
        <v>213</v>
      </c>
      <c r="D46" s="77" t="s">
        <v>464</v>
      </c>
      <c r="E46" s="137"/>
      <c r="F46" s="137"/>
      <c r="G46" s="137"/>
      <c r="H46" s="137"/>
      <c r="I46" s="137"/>
      <c r="J46" s="137"/>
      <c r="K46" s="135">
        <v>4810</v>
      </c>
      <c r="L46" s="135">
        <v>4810</v>
      </c>
      <c r="M46" s="135">
        <v>5532.4849999999997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3"/>
      <c r="AG46" s="133"/>
      <c r="AH46" s="133"/>
      <c r="AI46" s="133"/>
      <c r="AJ46" s="133"/>
      <c r="AK46" s="133"/>
      <c r="AL46" s="133"/>
      <c r="AM46" s="133"/>
      <c r="AN46" s="133"/>
      <c r="AO46" s="131">
        <f t="shared" si="3"/>
        <v>4810</v>
      </c>
      <c r="AP46" s="131">
        <f t="shared" si="1"/>
        <v>4810</v>
      </c>
      <c r="AQ46" s="531">
        <f t="shared" si="1"/>
        <v>5532.4849999999997</v>
      </c>
      <c r="AR46" s="324">
        <f t="shared" si="2"/>
        <v>1.1502047817047816</v>
      </c>
      <c r="AS46" s="132"/>
      <c r="AT46" s="132"/>
      <c r="AU46" s="132"/>
      <c r="AV46" s="537"/>
      <c r="AW46" s="132"/>
      <c r="AX46" s="78"/>
      <c r="AY46" s="78"/>
    </row>
    <row r="47" spans="1:52" x14ac:dyDescent="0.25">
      <c r="A47" s="76">
        <v>46</v>
      </c>
      <c r="B47" s="76">
        <v>564</v>
      </c>
      <c r="C47" s="76" t="s">
        <v>207</v>
      </c>
      <c r="D47" s="77" t="s">
        <v>334</v>
      </c>
      <c r="E47" s="137"/>
      <c r="F47" s="137"/>
      <c r="G47" s="137"/>
      <c r="H47" s="137"/>
      <c r="I47" s="137"/>
      <c r="J47" s="137"/>
      <c r="K47" s="135">
        <v>165</v>
      </c>
      <c r="L47" s="135">
        <v>165</v>
      </c>
      <c r="M47" s="135">
        <v>164.5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3"/>
      <c r="AG47" s="133"/>
      <c r="AH47" s="133"/>
      <c r="AI47" s="133"/>
      <c r="AJ47" s="133"/>
      <c r="AK47" s="133"/>
      <c r="AL47" s="133"/>
      <c r="AM47" s="133"/>
      <c r="AN47" s="133"/>
      <c r="AO47" s="131">
        <f t="shared" si="3"/>
        <v>165</v>
      </c>
      <c r="AP47" s="131">
        <f t="shared" si="1"/>
        <v>165</v>
      </c>
      <c r="AQ47" s="531">
        <f t="shared" si="1"/>
        <v>164.5</v>
      </c>
      <c r="AR47" s="324">
        <f t="shared" si="2"/>
        <v>0.99696969696969695</v>
      </c>
      <c r="AS47" s="132"/>
      <c r="AT47" s="132"/>
      <c r="AU47" s="132"/>
      <c r="AV47" s="537"/>
      <c r="AW47" s="132"/>
      <c r="AX47" s="78"/>
      <c r="AY47" s="78"/>
    </row>
    <row r="48" spans="1:52" x14ac:dyDescent="0.25">
      <c r="A48" s="76">
        <v>47</v>
      </c>
      <c r="B48" s="76"/>
      <c r="C48" s="76" t="s">
        <v>207</v>
      </c>
      <c r="D48" s="77" t="s">
        <v>465</v>
      </c>
      <c r="E48" s="137"/>
      <c r="F48" s="137"/>
      <c r="G48" s="137">
        <v>9.4450000000000003</v>
      </c>
      <c r="H48" s="137"/>
      <c r="I48" s="137"/>
      <c r="J48" s="137">
        <v>6.7039999999999997</v>
      </c>
      <c r="K48" s="135">
        <v>50</v>
      </c>
      <c r="L48" s="135">
        <v>50</v>
      </c>
      <c r="M48" s="135">
        <v>7.8979999999999997</v>
      </c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3"/>
      <c r="AG48" s="133"/>
      <c r="AH48" s="133"/>
      <c r="AI48" s="133"/>
      <c r="AJ48" s="133"/>
      <c r="AK48" s="133"/>
      <c r="AL48" s="133"/>
      <c r="AM48" s="133"/>
      <c r="AN48" s="133"/>
      <c r="AO48" s="131">
        <f t="shared" si="3"/>
        <v>50</v>
      </c>
      <c r="AP48" s="131">
        <f t="shared" si="1"/>
        <v>50</v>
      </c>
      <c r="AQ48" s="531">
        <f t="shared" si="1"/>
        <v>24.047000000000001</v>
      </c>
      <c r="AR48" s="324">
        <f t="shared" si="2"/>
        <v>0.48094000000000003</v>
      </c>
      <c r="AS48" s="132"/>
      <c r="AT48" s="132"/>
      <c r="AU48" s="132"/>
      <c r="AV48" s="537"/>
      <c r="AW48" s="132"/>
      <c r="AX48" s="78"/>
      <c r="AY48" s="78"/>
    </row>
    <row r="49" spans="1:51" x14ac:dyDescent="0.25">
      <c r="A49" s="76">
        <v>48</v>
      </c>
      <c r="B49" s="76">
        <v>576</v>
      </c>
      <c r="C49" s="76" t="s">
        <v>213</v>
      </c>
      <c r="D49" s="77" t="s">
        <v>466</v>
      </c>
      <c r="E49" s="137"/>
      <c r="F49" s="137"/>
      <c r="G49" s="137"/>
      <c r="H49" s="137"/>
      <c r="I49" s="137"/>
      <c r="J49" s="137"/>
      <c r="K49" s="135"/>
      <c r="L49" s="135">
        <v>10</v>
      </c>
      <c r="M49" s="135"/>
      <c r="N49" s="137"/>
      <c r="O49" s="137"/>
      <c r="P49" s="137"/>
      <c r="Q49" s="137"/>
      <c r="R49" s="137"/>
      <c r="S49" s="137"/>
      <c r="T49" s="137">
        <v>955</v>
      </c>
      <c r="U49" s="137">
        <v>955</v>
      </c>
      <c r="V49" s="137">
        <v>369.03199999999998</v>
      </c>
      <c r="W49" s="137"/>
      <c r="X49" s="137"/>
      <c r="Y49" s="137"/>
      <c r="Z49" s="137"/>
      <c r="AA49" s="137"/>
      <c r="AB49" s="137"/>
      <c r="AC49" s="137"/>
      <c r="AD49" s="137">
        <v>299.23</v>
      </c>
      <c r="AE49" s="137"/>
      <c r="AF49" s="133"/>
      <c r="AG49" s="133"/>
      <c r="AH49" s="133"/>
      <c r="AI49" s="133"/>
      <c r="AJ49" s="133"/>
      <c r="AK49" s="133"/>
      <c r="AL49" s="133"/>
      <c r="AM49" s="133"/>
      <c r="AN49" s="133"/>
      <c r="AO49" s="131">
        <f t="shared" si="3"/>
        <v>955</v>
      </c>
      <c r="AP49" s="131">
        <f t="shared" si="1"/>
        <v>1264.23</v>
      </c>
      <c r="AQ49" s="531">
        <f t="shared" si="1"/>
        <v>369.03199999999998</v>
      </c>
      <c r="AR49" s="324">
        <f t="shared" si="2"/>
        <v>0.29190258101769456</v>
      </c>
      <c r="AS49" s="132"/>
      <c r="AT49" s="132"/>
      <c r="AU49" s="132"/>
      <c r="AV49" s="537"/>
      <c r="AW49" s="132"/>
      <c r="AX49" s="78"/>
      <c r="AY49" s="78"/>
    </row>
    <row r="50" spans="1:51" x14ac:dyDescent="0.25">
      <c r="A50" s="76">
        <v>49</v>
      </c>
      <c r="B50" s="76">
        <v>540</v>
      </c>
      <c r="C50" s="76" t="s">
        <v>213</v>
      </c>
      <c r="D50" s="77" t="s">
        <v>555</v>
      </c>
      <c r="E50" s="137"/>
      <c r="F50" s="137"/>
      <c r="G50" s="137"/>
      <c r="H50" s="137"/>
      <c r="I50" s="137"/>
      <c r="J50" s="137"/>
      <c r="K50" s="135"/>
      <c r="L50" s="135"/>
      <c r="M50" s="135">
        <v>22.08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>
        <v>700</v>
      </c>
      <c r="AD50" s="137">
        <v>700</v>
      </c>
      <c r="AE50" s="137"/>
      <c r="AF50" s="133"/>
      <c r="AG50" s="133"/>
      <c r="AH50" s="133"/>
      <c r="AI50" s="133"/>
      <c r="AJ50" s="133"/>
      <c r="AK50" s="133"/>
      <c r="AL50" s="133"/>
      <c r="AM50" s="133"/>
      <c r="AN50" s="133"/>
      <c r="AO50" s="131">
        <f t="shared" si="3"/>
        <v>700</v>
      </c>
      <c r="AP50" s="131">
        <f t="shared" si="1"/>
        <v>700</v>
      </c>
      <c r="AQ50" s="531">
        <f t="shared" si="1"/>
        <v>22.08</v>
      </c>
      <c r="AR50" s="324">
        <f t="shared" si="2"/>
        <v>3.1542857142857143E-2</v>
      </c>
      <c r="AS50" s="132"/>
      <c r="AT50" s="132"/>
      <c r="AU50" s="132"/>
      <c r="AV50" s="537"/>
      <c r="AW50" s="132"/>
      <c r="AX50" s="78"/>
      <c r="AY50" s="78"/>
    </row>
    <row r="51" spans="1:51" x14ac:dyDescent="0.25">
      <c r="A51" s="76">
        <v>50</v>
      </c>
      <c r="B51" s="76"/>
      <c r="C51" s="76" t="s">
        <v>213</v>
      </c>
      <c r="D51" s="77" t="s">
        <v>467</v>
      </c>
      <c r="E51" s="137"/>
      <c r="F51" s="137"/>
      <c r="G51" s="137"/>
      <c r="H51" s="137"/>
      <c r="I51" s="137"/>
      <c r="J51" s="137"/>
      <c r="K51" s="135">
        <v>1767</v>
      </c>
      <c r="L51" s="135">
        <v>1767</v>
      </c>
      <c r="M51" s="135">
        <v>6035.8729999999996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>
        <v>110015</v>
      </c>
      <c r="AD51" s="137">
        <v>99720.436000000002</v>
      </c>
      <c r="AE51" s="137"/>
      <c r="AF51" s="133"/>
      <c r="AG51" s="133"/>
      <c r="AH51" s="133"/>
      <c r="AI51" s="133"/>
      <c r="AJ51" s="133"/>
      <c r="AK51" s="133"/>
      <c r="AL51" s="133"/>
      <c r="AM51" s="133"/>
      <c r="AN51" s="133"/>
      <c r="AO51" s="131">
        <f t="shared" si="3"/>
        <v>111782</v>
      </c>
      <c r="AP51" s="131">
        <f t="shared" si="1"/>
        <v>101487.436</v>
      </c>
      <c r="AQ51" s="531">
        <f t="shared" si="1"/>
        <v>6035.8729999999996</v>
      </c>
      <c r="AR51" s="324">
        <f t="shared" si="2"/>
        <v>5.9474090960382517E-2</v>
      </c>
      <c r="AS51" s="132"/>
      <c r="AT51" s="132"/>
      <c r="AU51" s="132"/>
      <c r="AV51" s="537"/>
      <c r="AW51" s="132"/>
      <c r="AX51" s="78"/>
      <c r="AY51" s="78"/>
    </row>
    <row r="52" spans="1:51" x14ac:dyDescent="0.25">
      <c r="A52" s="76">
        <v>51</v>
      </c>
      <c r="B52" s="76"/>
      <c r="C52" s="76" t="s">
        <v>213</v>
      </c>
      <c r="D52" s="77" t="s">
        <v>468</v>
      </c>
      <c r="E52" s="137"/>
      <c r="F52" s="137"/>
      <c r="G52" s="137"/>
      <c r="H52" s="137"/>
      <c r="I52" s="137"/>
      <c r="J52" s="137"/>
      <c r="K52" s="135">
        <v>685</v>
      </c>
      <c r="L52" s="135">
        <v>685</v>
      </c>
      <c r="M52" s="135">
        <v>30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>
        <v>46438</v>
      </c>
      <c r="AD52" s="137">
        <v>46438</v>
      </c>
      <c r="AE52" s="137"/>
      <c r="AF52" s="133"/>
      <c r="AG52" s="133"/>
      <c r="AH52" s="133"/>
      <c r="AI52" s="133"/>
      <c r="AJ52" s="133"/>
      <c r="AK52" s="133"/>
      <c r="AL52" s="133"/>
      <c r="AM52" s="133"/>
      <c r="AN52" s="133"/>
      <c r="AO52" s="131">
        <f t="shared" si="3"/>
        <v>47123</v>
      </c>
      <c r="AP52" s="131">
        <f t="shared" si="1"/>
        <v>47123</v>
      </c>
      <c r="AQ52" s="531">
        <f t="shared" si="1"/>
        <v>30</v>
      </c>
      <c r="AR52" s="324">
        <f t="shared" si="2"/>
        <v>6.3663179339176203E-4</v>
      </c>
      <c r="AS52" s="132"/>
      <c r="AT52" s="132"/>
      <c r="AU52" s="132"/>
      <c r="AV52" s="537"/>
      <c r="AW52" s="132"/>
      <c r="AX52" s="78"/>
      <c r="AY52" s="78"/>
    </row>
    <row r="53" spans="1:51" x14ac:dyDescent="0.25">
      <c r="A53" s="76">
        <v>52</v>
      </c>
      <c r="B53" s="76">
        <v>556</v>
      </c>
      <c r="C53" s="76" t="s">
        <v>213</v>
      </c>
      <c r="D53" s="77" t="s">
        <v>338</v>
      </c>
      <c r="E53" s="137">
        <v>9241</v>
      </c>
      <c r="F53" s="137">
        <v>9241</v>
      </c>
      <c r="G53" s="137">
        <v>1539.68</v>
      </c>
      <c r="H53" s="137">
        <v>2033</v>
      </c>
      <c r="I53" s="137">
        <v>2033</v>
      </c>
      <c r="J53" s="137">
        <v>252.72</v>
      </c>
      <c r="K53" s="135">
        <v>29690</v>
      </c>
      <c r="L53" s="135">
        <v>29690</v>
      </c>
      <c r="M53" s="135">
        <v>8939.3130000000001</v>
      </c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3"/>
      <c r="AG53" s="133"/>
      <c r="AH53" s="133"/>
      <c r="AI53" s="133"/>
      <c r="AJ53" s="133"/>
      <c r="AK53" s="133"/>
      <c r="AL53" s="133"/>
      <c r="AM53" s="133"/>
      <c r="AN53" s="133"/>
      <c r="AO53" s="131">
        <f t="shared" si="3"/>
        <v>40964</v>
      </c>
      <c r="AP53" s="131">
        <f t="shared" si="1"/>
        <v>40964</v>
      </c>
      <c r="AQ53" s="531">
        <f t="shared" si="1"/>
        <v>10731.713</v>
      </c>
      <c r="AR53" s="324">
        <f t="shared" si="2"/>
        <v>0.2619791280148423</v>
      </c>
      <c r="AS53" s="132"/>
      <c r="AT53" s="132"/>
      <c r="AU53" s="132"/>
      <c r="AV53" s="537"/>
      <c r="AW53" s="132"/>
      <c r="AX53" s="78"/>
      <c r="AY53" s="78"/>
    </row>
    <row r="54" spans="1:51" x14ac:dyDescent="0.25">
      <c r="A54" s="76">
        <v>53</v>
      </c>
      <c r="B54" s="76"/>
      <c r="C54" s="76" t="s">
        <v>213</v>
      </c>
      <c r="D54" s="77" t="s">
        <v>342</v>
      </c>
      <c r="E54" s="137"/>
      <c r="F54" s="137"/>
      <c r="G54" s="137"/>
      <c r="H54" s="137"/>
      <c r="I54" s="137"/>
      <c r="J54" s="137"/>
      <c r="K54" s="135">
        <v>2102</v>
      </c>
      <c r="L54" s="135">
        <v>2102</v>
      </c>
      <c r="M54" s="135">
        <v>1879.4</v>
      </c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>
        <v>55115</v>
      </c>
      <c r="AD54" s="137">
        <v>55115</v>
      </c>
      <c r="AE54" s="137"/>
      <c r="AF54" s="133"/>
      <c r="AG54" s="133"/>
      <c r="AH54" s="133"/>
      <c r="AI54" s="133"/>
      <c r="AJ54" s="133"/>
      <c r="AK54" s="133"/>
      <c r="AL54" s="133"/>
      <c r="AM54" s="133"/>
      <c r="AN54" s="133"/>
      <c r="AO54" s="131">
        <f t="shared" si="3"/>
        <v>57217</v>
      </c>
      <c r="AP54" s="131">
        <f t="shared" si="1"/>
        <v>57217</v>
      </c>
      <c r="AQ54" s="531">
        <f t="shared" si="1"/>
        <v>1879.4</v>
      </c>
      <c r="AR54" s="324">
        <f t="shared" si="2"/>
        <v>3.2846881171679748E-2</v>
      </c>
      <c r="AS54" s="132"/>
      <c r="AT54" s="132"/>
      <c r="AU54" s="132"/>
      <c r="AV54" s="537"/>
      <c r="AW54" s="132"/>
      <c r="AX54" s="78"/>
      <c r="AY54" s="78"/>
    </row>
    <row r="55" spans="1:51" x14ac:dyDescent="0.25">
      <c r="A55" s="76">
        <v>54</v>
      </c>
      <c r="B55" s="76"/>
      <c r="C55" s="76" t="s">
        <v>213</v>
      </c>
      <c r="D55" s="77" t="s">
        <v>469</v>
      </c>
      <c r="E55" s="137">
        <v>9881</v>
      </c>
      <c r="F55" s="137">
        <v>9881</v>
      </c>
      <c r="G55" s="137">
        <v>353.88</v>
      </c>
      <c r="H55" s="137">
        <v>2126</v>
      </c>
      <c r="I55" s="137">
        <v>2126</v>
      </c>
      <c r="J55" s="137">
        <v>64.08</v>
      </c>
      <c r="K55" s="135">
        <v>1493</v>
      </c>
      <c r="L55" s="135">
        <v>1493</v>
      </c>
      <c r="M55" s="135">
        <v>121.681</v>
      </c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3"/>
      <c r="AG55" s="133"/>
      <c r="AH55" s="133"/>
      <c r="AI55" s="133">
        <v>6656.232</v>
      </c>
      <c r="AJ55" s="133">
        <v>6656.232</v>
      </c>
      <c r="AK55" s="133"/>
      <c r="AL55" s="133"/>
      <c r="AM55" s="133"/>
      <c r="AN55" s="133"/>
      <c r="AO55" s="131">
        <f t="shared" si="3"/>
        <v>20156.232</v>
      </c>
      <c r="AP55" s="131">
        <f t="shared" si="1"/>
        <v>20156.232</v>
      </c>
      <c r="AQ55" s="531">
        <f t="shared" si="1"/>
        <v>539.64099999999996</v>
      </c>
      <c r="AR55" s="324">
        <f t="shared" si="2"/>
        <v>2.6772910730537332E-2</v>
      </c>
      <c r="AS55" s="132"/>
      <c r="AT55" s="132"/>
      <c r="AU55" s="132"/>
      <c r="AV55" s="537"/>
      <c r="AW55" s="132"/>
      <c r="AX55" s="78"/>
      <c r="AY55" s="78"/>
    </row>
    <row r="56" spans="1:51" x14ac:dyDescent="0.25">
      <c r="A56" s="76">
        <v>55</v>
      </c>
      <c r="B56" s="76">
        <v>557</v>
      </c>
      <c r="C56" s="76" t="s">
        <v>213</v>
      </c>
      <c r="D56" s="77" t="s">
        <v>337</v>
      </c>
      <c r="E56" s="137">
        <v>2448</v>
      </c>
      <c r="F56" s="137">
        <v>2448</v>
      </c>
      <c r="G56" s="137"/>
      <c r="H56" s="137">
        <v>1252</v>
      </c>
      <c r="I56" s="137">
        <v>1252</v>
      </c>
      <c r="J56" s="137"/>
      <c r="K56" s="135">
        <v>11915</v>
      </c>
      <c r="L56" s="135">
        <v>11915</v>
      </c>
      <c r="M56" s="135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>
        <v>189753</v>
      </c>
      <c r="AD56" s="137">
        <v>190261</v>
      </c>
      <c r="AE56" s="137"/>
      <c r="AF56" s="133"/>
      <c r="AG56" s="133"/>
      <c r="AH56" s="133"/>
      <c r="AI56" s="133">
        <v>2846</v>
      </c>
      <c r="AJ56" s="133">
        <v>2846</v>
      </c>
      <c r="AK56" s="133"/>
      <c r="AL56" s="133"/>
      <c r="AM56" s="133"/>
      <c r="AN56" s="133"/>
      <c r="AO56" s="131">
        <f t="shared" si="3"/>
        <v>208214</v>
      </c>
      <c r="AP56" s="131">
        <f t="shared" si="1"/>
        <v>208722</v>
      </c>
      <c r="AQ56" s="131">
        <f t="shared" si="1"/>
        <v>0</v>
      </c>
      <c r="AR56" s="324">
        <f t="shared" si="2"/>
        <v>0</v>
      </c>
      <c r="AS56" s="132"/>
      <c r="AT56" s="132"/>
      <c r="AU56" s="132"/>
      <c r="AV56" s="537"/>
      <c r="AW56" s="132"/>
      <c r="AX56" s="78"/>
      <c r="AY56" s="78"/>
    </row>
    <row r="57" spans="1:51" x14ac:dyDescent="0.25">
      <c r="A57" s="76">
        <v>56</v>
      </c>
      <c r="B57" s="76">
        <v>558</v>
      </c>
      <c r="C57" s="284" t="s">
        <v>213</v>
      </c>
      <c r="D57" s="77" t="s">
        <v>339</v>
      </c>
      <c r="E57" s="137"/>
      <c r="F57" s="137"/>
      <c r="G57" s="137"/>
      <c r="H57" s="137"/>
      <c r="I57" s="137"/>
      <c r="J57" s="137"/>
      <c r="K57" s="135">
        <v>2530</v>
      </c>
      <c r="L57" s="135">
        <v>2530</v>
      </c>
      <c r="M57" s="135">
        <v>1930</v>
      </c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>
        <v>45500</v>
      </c>
      <c r="AD57" s="137">
        <v>45500</v>
      </c>
      <c r="AE57" s="137"/>
      <c r="AF57" s="133"/>
      <c r="AG57" s="133"/>
      <c r="AH57" s="133"/>
      <c r="AI57" s="133"/>
      <c r="AJ57" s="133"/>
      <c r="AK57" s="133"/>
      <c r="AL57" s="133"/>
      <c r="AM57" s="133"/>
      <c r="AN57" s="133"/>
      <c r="AO57" s="131">
        <f t="shared" si="3"/>
        <v>48030</v>
      </c>
      <c r="AP57" s="131">
        <f t="shared" si="1"/>
        <v>48030</v>
      </c>
      <c r="AQ57" s="531">
        <f t="shared" si="1"/>
        <v>1930</v>
      </c>
      <c r="AR57" s="324">
        <f t="shared" si="2"/>
        <v>4.0183218821569854E-2</v>
      </c>
      <c r="AS57" s="132"/>
      <c r="AT57" s="132"/>
      <c r="AU57" s="132"/>
      <c r="AV57" s="537"/>
      <c r="AW57" s="132"/>
      <c r="AX57" s="78"/>
      <c r="AY57" s="78"/>
    </row>
    <row r="58" spans="1:51" x14ac:dyDescent="0.25">
      <c r="A58" s="76">
        <v>57</v>
      </c>
      <c r="B58" s="76">
        <v>559</v>
      </c>
      <c r="C58" s="76" t="s">
        <v>213</v>
      </c>
      <c r="D58" s="77" t="s">
        <v>340</v>
      </c>
      <c r="E58" s="137"/>
      <c r="F58" s="137"/>
      <c r="G58" s="137"/>
      <c r="H58" s="137"/>
      <c r="I58" s="137"/>
      <c r="J58" s="137"/>
      <c r="K58" s="135">
        <v>11355</v>
      </c>
      <c r="L58" s="135">
        <v>11355</v>
      </c>
      <c r="M58" s="135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>
        <v>159401</v>
      </c>
      <c r="AD58" s="137">
        <v>159401</v>
      </c>
      <c r="AE58" s="137"/>
      <c r="AF58" s="133"/>
      <c r="AG58" s="133"/>
      <c r="AH58" s="133"/>
      <c r="AI58" s="133"/>
      <c r="AJ58" s="133"/>
      <c r="AK58" s="133"/>
      <c r="AL58" s="133"/>
      <c r="AM58" s="133"/>
      <c r="AN58" s="133"/>
      <c r="AO58" s="131">
        <f t="shared" si="3"/>
        <v>170756</v>
      </c>
      <c r="AP58" s="131">
        <f t="shared" si="1"/>
        <v>170756</v>
      </c>
      <c r="AQ58" s="131">
        <f t="shared" si="1"/>
        <v>0</v>
      </c>
      <c r="AR58" s="324">
        <f t="shared" si="2"/>
        <v>0</v>
      </c>
      <c r="AS58" s="132"/>
      <c r="AT58" s="132"/>
      <c r="AU58" s="132"/>
      <c r="AV58" s="537"/>
      <c r="AW58" s="132"/>
      <c r="AX58" s="78"/>
      <c r="AY58" s="78"/>
    </row>
    <row r="59" spans="1:51" x14ac:dyDescent="0.25">
      <c r="A59" s="76"/>
      <c r="B59" s="76"/>
      <c r="C59" s="76" t="s">
        <v>213</v>
      </c>
      <c r="D59" s="77" t="s">
        <v>554</v>
      </c>
      <c r="E59" s="137"/>
      <c r="F59" s="137"/>
      <c r="G59" s="137"/>
      <c r="H59" s="137"/>
      <c r="I59" s="137"/>
      <c r="J59" s="137"/>
      <c r="K59" s="135"/>
      <c r="L59" s="135">
        <v>460.35</v>
      </c>
      <c r="M59" s="135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3"/>
      <c r="AG59" s="133"/>
      <c r="AH59" s="133"/>
      <c r="AI59" s="133"/>
      <c r="AJ59" s="133"/>
      <c r="AK59" s="133"/>
      <c r="AL59" s="133"/>
      <c r="AM59" s="133"/>
      <c r="AN59" s="133"/>
      <c r="AO59" s="131"/>
      <c r="AP59" s="131">
        <f t="shared" si="1"/>
        <v>460.35</v>
      </c>
      <c r="AQ59" s="131"/>
      <c r="AR59" s="324"/>
      <c r="AS59" s="132"/>
      <c r="AT59" s="132"/>
      <c r="AU59" s="132"/>
      <c r="AV59" s="537"/>
      <c r="AW59" s="132"/>
      <c r="AX59" s="78"/>
      <c r="AY59" s="78"/>
    </row>
    <row r="60" spans="1:51" x14ac:dyDescent="0.25">
      <c r="A60" s="76">
        <v>58</v>
      </c>
      <c r="B60" s="76">
        <v>560</v>
      </c>
      <c r="C60" s="284" t="s">
        <v>213</v>
      </c>
      <c r="D60" s="77" t="s">
        <v>470</v>
      </c>
      <c r="E60" s="137"/>
      <c r="F60" s="137">
        <v>11285</v>
      </c>
      <c r="G60" s="137">
        <v>3080</v>
      </c>
      <c r="H60" s="137"/>
      <c r="I60" s="137">
        <v>2201.1999999999998</v>
      </c>
      <c r="J60" s="137">
        <v>546</v>
      </c>
      <c r="K60" s="135"/>
      <c r="L60" s="135">
        <v>1866</v>
      </c>
      <c r="M60" s="135">
        <v>84.81</v>
      </c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3"/>
      <c r="AG60" s="133"/>
      <c r="AH60" s="133"/>
      <c r="AI60" s="133"/>
      <c r="AJ60" s="133"/>
      <c r="AK60" s="133"/>
      <c r="AL60" s="133"/>
      <c r="AM60" s="133"/>
      <c r="AN60" s="133"/>
      <c r="AO60" s="131">
        <f t="shared" si="3"/>
        <v>0</v>
      </c>
      <c r="AP60" s="131">
        <f t="shared" si="1"/>
        <v>15352.2</v>
      </c>
      <c r="AQ60" s="531">
        <f t="shared" si="1"/>
        <v>3710.81</v>
      </c>
      <c r="AR60" s="324">
        <f t="shared" si="2"/>
        <v>0.2417119370513672</v>
      </c>
      <c r="AS60" s="132"/>
      <c r="AT60" s="132"/>
      <c r="AU60" s="132"/>
      <c r="AV60" s="537"/>
      <c r="AW60" s="132"/>
      <c r="AX60" s="78"/>
      <c r="AY60" s="78"/>
    </row>
    <row r="61" spans="1:51" x14ac:dyDescent="0.25">
      <c r="A61" s="76">
        <v>59</v>
      </c>
      <c r="B61" s="76">
        <v>561</v>
      </c>
      <c r="C61" s="76" t="s">
        <v>213</v>
      </c>
      <c r="D61" s="79" t="s">
        <v>445</v>
      </c>
      <c r="E61" s="137"/>
      <c r="F61" s="137">
        <v>6375</v>
      </c>
      <c r="G61" s="137">
        <v>1400</v>
      </c>
      <c r="H61" s="137"/>
      <c r="I61" s="137">
        <v>1243.3</v>
      </c>
      <c r="J61" s="137">
        <v>327.60000000000002</v>
      </c>
      <c r="K61" s="135"/>
      <c r="L61" s="135">
        <v>1776</v>
      </c>
      <c r="M61" s="135">
        <v>85.528000000000006</v>
      </c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3"/>
      <c r="AG61" s="133"/>
      <c r="AH61" s="133"/>
      <c r="AI61" s="133"/>
      <c r="AJ61" s="133"/>
      <c r="AK61" s="133"/>
      <c r="AL61" s="133"/>
      <c r="AM61" s="133"/>
      <c r="AN61" s="133"/>
      <c r="AO61" s="131">
        <f t="shared" si="3"/>
        <v>0</v>
      </c>
      <c r="AP61" s="131">
        <f t="shared" si="1"/>
        <v>9394.2999999999993</v>
      </c>
      <c r="AQ61" s="531">
        <f t="shared" si="1"/>
        <v>1813.1279999999999</v>
      </c>
      <c r="AR61" s="324">
        <f t="shared" si="2"/>
        <v>0.19300299117550004</v>
      </c>
      <c r="AS61" s="132"/>
      <c r="AT61" s="132"/>
      <c r="AU61" s="132"/>
      <c r="AV61" s="537"/>
      <c r="AW61" s="132"/>
      <c r="AX61" s="78"/>
      <c r="AY61" s="78"/>
    </row>
    <row r="62" spans="1:51" x14ac:dyDescent="0.25">
      <c r="A62" s="76">
        <v>60</v>
      </c>
      <c r="B62" s="76">
        <v>562</v>
      </c>
      <c r="C62" s="76" t="s">
        <v>213</v>
      </c>
      <c r="D62" s="77" t="s">
        <v>471</v>
      </c>
      <c r="E62" s="137"/>
      <c r="F62" s="137"/>
      <c r="G62" s="137"/>
      <c r="H62" s="137"/>
      <c r="I62" s="137"/>
      <c r="J62" s="137"/>
      <c r="K62" s="135"/>
      <c r="L62" s="135">
        <v>50</v>
      </c>
      <c r="M62" s="135">
        <v>63.5</v>
      </c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3"/>
      <c r="AG62" s="133"/>
      <c r="AH62" s="133"/>
      <c r="AI62" s="133"/>
      <c r="AJ62" s="133"/>
      <c r="AK62" s="133"/>
      <c r="AL62" s="133"/>
      <c r="AM62" s="133"/>
      <c r="AN62" s="133"/>
      <c r="AO62" s="131">
        <f t="shared" si="3"/>
        <v>0</v>
      </c>
      <c r="AP62" s="131">
        <f t="shared" si="1"/>
        <v>50</v>
      </c>
      <c r="AQ62" s="531">
        <f t="shared" si="1"/>
        <v>63.5</v>
      </c>
      <c r="AR62" s="324">
        <f t="shared" si="2"/>
        <v>1.27</v>
      </c>
      <c r="AS62" s="132"/>
      <c r="AT62" s="132"/>
      <c r="AU62" s="132"/>
      <c r="AV62" s="537"/>
      <c r="AW62" s="132"/>
      <c r="AX62" s="78"/>
      <c r="AY62" s="78"/>
    </row>
    <row r="63" spans="1:51" x14ac:dyDescent="0.25">
      <c r="A63" s="76"/>
      <c r="B63" s="76">
        <v>566</v>
      </c>
      <c r="C63" s="76" t="s">
        <v>213</v>
      </c>
      <c r="D63" s="77" t="s">
        <v>514</v>
      </c>
      <c r="E63" s="137"/>
      <c r="F63" s="137"/>
      <c r="G63" s="137"/>
      <c r="H63" s="137"/>
      <c r="I63" s="137"/>
      <c r="J63" s="137"/>
      <c r="K63" s="135"/>
      <c r="L63" s="135"/>
      <c r="M63" s="135">
        <v>190.05</v>
      </c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3"/>
      <c r="AG63" s="133"/>
      <c r="AH63" s="133"/>
      <c r="AI63" s="133"/>
      <c r="AJ63" s="133"/>
      <c r="AK63" s="133"/>
      <c r="AL63" s="133"/>
      <c r="AM63" s="133"/>
      <c r="AN63" s="133"/>
      <c r="AO63" s="131"/>
      <c r="AP63" s="131">
        <f t="shared" si="1"/>
        <v>0</v>
      </c>
      <c r="AQ63" s="531">
        <f t="shared" si="1"/>
        <v>190.05</v>
      </c>
      <c r="AR63" s="324"/>
      <c r="AS63" s="132"/>
      <c r="AT63" s="132"/>
      <c r="AU63" s="132"/>
      <c r="AV63" s="537"/>
      <c r="AW63" s="132"/>
      <c r="AX63" s="78"/>
      <c r="AY63" s="78"/>
    </row>
    <row r="64" spans="1:51" x14ac:dyDescent="0.25">
      <c r="A64" s="76">
        <v>61</v>
      </c>
      <c r="B64" s="76">
        <v>554</v>
      </c>
      <c r="C64" s="76" t="s">
        <v>207</v>
      </c>
      <c r="D64" s="77" t="s">
        <v>472</v>
      </c>
      <c r="E64" s="137"/>
      <c r="F64" s="137"/>
      <c r="G64" s="137"/>
      <c r="H64" s="137"/>
      <c r="I64" s="137"/>
      <c r="J64" s="137"/>
      <c r="K64" s="135"/>
      <c r="L64" s="135"/>
      <c r="M64" s="135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3"/>
      <c r="AG64" s="133">
        <v>2708.8159999999998</v>
      </c>
      <c r="AH64" s="133"/>
      <c r="AI64" s="133"/>
      <c r="AJ64" s="133"/>
      <c r="AK64" s="133"/>
      <c r="AL64" s="133"/>
      <c r="AM64" s="133"/>
      <c r="AN64" s="133"/>
      <c r="AO64" s="131">
        <f t="shared" si="3"/>
        <v>0</v>
      </c>
      <c r="AP64" s="131">
        <f t="shared" si="1"/>
        <v>2708.8159999999998</v>
      </c>
      <c r="AQ64" s="531">
        <f t="shared" si="1"/>
        <v>0</v>
      </c>
      <c r="AR64" s="324">
        <f t="shared" si="2"/>
        <v>0</v>
      </c>
      <c r="AS64" s="132"/>
      <c r="AT64" s="132"/>
      <c r="AU64" s="132"/>
      <c r="AV64" s="537"/>
      <c r="AW64" s="132"/>
      <c r="AX64" s="78"/>
      <c r="AY64" s="78">
        <v>5328</v>
      </c>
    </row>
    <row r="65" spans="1:51" s="224" customFormat="1" x14ac:dyDescent="0.25">
      <c r="A65" s="76">
        <v>62</v>
      </c>
      <c r="B65" s="220"/>
      <c r="C65" s="220"/>
      <c r="D65" s="221" t="s">
        <v>253</v>
      </c>
      <c r="E65" s="222">
        <f t="shared" ref="E65:AQ65" si="4">SUM(E5:E64)</f>
        <v>124278</v>
      </c>
      <c r="F65" s="222">
        <f t="shared" si="4"/>
        <v>142620.552</v>
      </c>
      <c r="G65" s="504">
        <f t="shared" si="4"/>
        <v>82561.604000000007</v>
      </c>
      <c r="H65" s="222">
        <f t="shared" si="4"/>
        <v>17867.8</v>
      </c>
      <c r="I65" s="222">
        <f t="shared" si="4"/>
        <v>21477.248</v>
      </c>
      <c r="J65" s="504">
        <f t="shared" si="4"/>
        <v>10384.077999999998</v>
      </c>
      <c r="K65" s="222">
        <f t="shared" si="4"/>
        <v>161053.70000000001</v>
      </c>
      <c r="L65" s="222">
        <f t="shared" si="4"/>
        <v>166160.71</v>
      </c>
      <c r="M65" s="504">
        <f t="shared" si="4"/>
        <v>85128.939999999988</v>
      </c>
      <c r="N65" s="222">
        <f t="shared" si="4"/>
        <v>5400</v>
      </c>
      <c r="O65" s="222">
        <f t="shared" si="4"/>
        <v>6107.78</v>
      </c>
      <c r="P65" s="504">
        <f t="shared" si="4"/>
        <v>2391.1819999999998</v>
      </c>
      <c r="Q65" s="222">
        <f t="shared" si="4"/>
        <v>26992.1</v>
      </c>
      <c r="R65" s="222">
        <f t="shared" si="4"/>
        <v>29862.1</v>
      </c>
      <c r="S65" s="504">
        <f t="shared" si="4"/>
        <v>17537.827999999998</v>
      </c>
      <c r="T65" s="222">
        <f t="shared" si="4"/>
        <v>7378</v>
      </c>
      <c r="U65" s="222">
        <f t="shared" si="4"/>
        <v>7378</v>
      </c>
      <c r="V65" s="504">
        <f t="shared" si="4"/>
        <v>6361.0070000000005</v>
      </c>
      <c r="W65" s="222">
        <f t="shared" si="4"/>
        <v>0</v>
      </c>
      <c r="X65" s="222">
        <f t="shared" si="4"/>
        <v>0</v>
      </c>
      <c r="Y65" s="222">
        <f t="shared" si="4"/>
        <v>0</v>
      </c>
      <c r="Z65" s="222">
        <f t="shared" si="4"/>
        <v>0</v>
      </c>
      <c r="AA65" s="222">
        <f t="shared" si="4"/>
        <v>0</v>
      </c>
      <c r="AB65" s="222">
        <f t="shared" si="4"/>
        <v>0</v>
      </c>
      <c r="AC65" s="222">
        <f t="shared" si="4"/>
        <v>622181</v>
      </c>
      <c r="AD65" s="222">
        <f t="shared" si="4"/>
        <v>612943.66599999997</v>
      </c>
      <c r="AE65" s="504">
        <f t="shared" si="4"/>
        <v>3607.9859999999999</v>
      </c>
      <c r="AF65" s="222">
        <f t="shared" si="4"/>
        <v>22643</v>
      </c>
      <c r="AG65" s="222">
        <f t="shared" si="4"/>
        <v>26870.351999999999</v>
      </c>
      <c r="AH65" s="504">
        <f t="shared" si="4"/>
        <v>24446.257000000001</v>
      </c>
      <c r="AI65" s="222">
        <f t="shared" si="4"/>
        <v>26106.298999999999</v>
      </c>
      <c r="AJ65" s="222">
        <f t="shared" si="4"/>
        <v>22190.510999999999</v>
      </c>
      <c r="AK65" s="222">
        <f t="shared" si="4"/>
        <v>0</v>
      </c>
      <c r="AL65" s="222">
        <f t="shared" si="4"/>
        <v>10927.733</v>
      </c>
      <c r="AM65" s="222">
        <f t="shared" si="4"/>
        <v>10927.733</v>
      </c>
      <c r="AN65" s="504">
        <f t="shared" si="4"/>
        <v>10927.733</v>
      </c>
      <c r="AO65" s="222">
        <f t="shared" si="4"/>
        <v>1024827.6319999999</v>
      </c>
      <c r="AP65" s="222">
        <f t="shared" si="4"/>
        <v>1046538.6519999999</v>
      </c>
      <c r="AQ65" s="504">
        <f t="shared" si="4"/>
        <v>243346.61499999996</v>
      </c>
      <c r="AR65" s="324">
        <f t="shared" si="2"/>
        <v>0.23252520538534299</v>
      </c>
      <c r="AS65" s="222">
        <f>SUM(AS5:AS64)</f>
        <v>0</v>
      </c>
      <c r="AT65" s="222"/>
      <c r="AU65" s="222"/>
      <c r="AV65" s="539"/>
      <c r="AW65" s="222"/>
      <c r="AX65" s="223"/>
      <c r="AY65" s="223"/>
    </row>
    <row r="66" spans="1:51" ht="15.75" x14ac:dyDescent="0.25">
      <c r="A66" s="76">
        <v>63</v>
      </c>
      <c r="B66" s="76"/>
      <c r="C66" s="76"/>
      <c r="D66" s="99" t="s">
        <v>353</v>
      </c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324"/>
      <c r="AS66" s="131"/>
      <c r="AT66" s="131"/>
      <c r="AU66" s="131"/>
      <c r="AV66" s="324"/>
      <c r="AW66" s="131"/>
      <c r="AX66" s="177"/>
      <c r="AY66" s="177"/>
    </row>
    <row r="67" spans="1:51" ht="15.75" x14ac:dyDescent="0.25">
      <c r="A67" s="76">
        <v>64</v>
      </c>
      <c r="B67" s="76"/>
      <c r="C67" s="96"/>
      <c r="D67" s="183" t="s">
        <v>354</v>
      </c>
      <c r="E67" s="182">
        <v>1</v>
      </c>
      <c r="F67" s="182">
        <v>1</v>
      </c>
      <c r="G67" s="488">
        <v>1</v>
      </c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324"/>
      <c r="AS67" s="180"/>
      <c r="AT67" s="180"/>
      <c r="AU67" s="180"/>
      <c r="AV67" s="540"/>
      <c r="AW67" s="180"/>
      <c r="AX67" s="181"/>
      <c r="AY67" s="181"/>
    </row>
    <row r="68" spans="1:51" ht="15.75" x14ac:dyDescent="0.25">
      <c r="A68" s="76">
        <v>65</v>
      </c>
      <c r="B68" s="76"/>
      <c r="C68" s="96"/>
      <c r="D68" s="183" t="s">
        <v>355</v>
      </c>
      <c r="E68" s="182">
        <v>6</v>
      </c>
      <c r="F68" s="182">
        <v>6</v>
      </c>
      <c r="G68" s="488">
        <v>6</v>
      </c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324"/>
      <c r="AS68" s="180"/>
      <c r="AT68" s="180"/>
      <c r="AU68" s="180"/>
      <c r="AV68" s="540"/>
      <c r="AW68" s="180"/>
      <c r="AX68" s="181"/>
      <c r="AY68" s="181"/>
    </row>
    <row r="69" spans="1:51" ht="15.75" x14ac:dyDescent="0.25">
      <c r="A69" s="76">
        <v>66</v>
      </c>
      <c r="B69" s="76"/>
      <c r="C69" s="96"/>
      <c r="D69" s="183" t="s">
        <v>356</v>
      </c>
      <c r="E69" s="182">
        <v>2</v>
      </c>
      <c r="F69" s="182">
        <v>2</v>
      </c>
      <c r="G69" s="488">
        <v>2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324"/>
      <c r="AS69" s="180"/>
      <c r="AT69" s="180"/>
      <c r="AU69" s="180"/>
      <c r="AV69" s="540"/>
      <c r="AW69" s="180"/>
      <c r="AX69" s="181"/>
      <c r="AY69" s="181"/>
    </row>
    <row r="70" spans="1:51" ht="15.75" x14ac:dyDescent="0.25">
      <c r="A70" s="76"/>
      <c r="B70" s="76"/>
      <c r="C70" s="96"/>
      <c r="D70" s="183" t="s">
        <v>570</v>
      </c>
      <c r="E70" s="182"/>
      <c r="F70" s="182"/>
      <c r="G70" s="488">
        <v>5.23</v>
      </c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324"/>
      <c r="AS70" s="180"/>
      <c r="AT70" s="180"/>
      <c r="AU70" s="180"/>
      <c r="AV70" s="540"/>
      <c r="AW70" s="180"/>
      <c r="AX70" s="181"/>
      <c r="AY70" s="181"/>
    </row>
    <row r="71" spans="1:51" ht="15.75" x14ac:dyDescent="0.25">
      <c r="A71" s="76">
        <v>67</v>
      </c>
      <c r="B71" s="76"/>
      <c r="C71" s="96"/>
      <c r="D71" s="183" t="s">
        <v>357</v>
      </c>
      <c r="E71" s="182">
        <v>60</v>
      </c>
      <c r="F71" s="182">
        <v>60</v>
      </c>
      <c r="G71" s="488">
        <v>75.23</v>
      </c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324"/>
      <c r="AS71" s="180"/>
      <c r="AT71" s="180"/>
      <c r="AU71" s="180"/>
      <c r="AV71" s="540"/>
      <c r="AW71" s="180"/>
      <c r="AX71" s="181"/>
      <c r="AY71" s="181"/>
    </row>
    <row r="72" spans="1:51" s="107" customFormat="1" ht="15.75" x14ac:dyDescent="0.25">
      <c r="A72" s="76">
        <v>68</v>
      </c>
      <c r="B72" s="76"/>
      <c r="C72" s="178"/>
      <c r="D72" s="184" t="s">
        <v>192</v>
      </c>
      <c r="E72" s="185">
        <f>SUM(E67:E71)</f>
        <v>69</v>
      </c>
      <c r="F72" s="185">
        <f>SUM(F67:F71)</f>
        <v>69</v>
      </c>
      <c r="G72" s="489">
        <f>SUM(G67:G71)</f>
        <v>89.460000000000008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324"/>
      <c r="AS72" s="131"/>
      <c r="AT72" s="131"/>
      <c r="AU72" s="131"/>
      <c r="AV72" s="324"/>
      <c r="AW72" s="131"/>
      <c r="AX72" s="177"/>
      <c r="AY72" s="177"/>
    </row>
    <row r="73" spans="1:51" ht="15.75" x14ac:dyDescent="0.25">
      <c r="A73" s="76">
        <v>69</v>
      </c>
      <c r="B73" s="76"/>
      <c r="C73" s="96"/>
      <c r="D73" s="179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324"/>
      <c r="AS73" s="180"/>
      <c r="AT73" s="180"/>
      <c r="AU73" s="180"/>
      <c r="AV73" s="540"/>
      <c r="AW73" s="180"/>
      <c r="AX73" s="181"/>
      <c r="AY73" s="181"/>
    </row>
    <row r="74" spans="1:51" x14ac:dyDescent="0.25">
      <c r="A74" s="76">
        <v>70</v>
      </c>
      <c r="B74" s="76"/>
      <c r="C74" s="76"/>
      <c r="D74" s="103" t="s">
        <v>238</v>
      </c>
      <c r="E74" s="136">
        <f t="shared" ref="E74:AQ74" si="5">SUMIF($C5:$C64,"kötelező",E5:E64)</f>
        <v>102010</v>
      </c>
      <c r="F74" s="136">
        <f t="shared" si="5"/>
        <v>102692.552</v>
      </c>
      <c r="G74" s="136">
        <f t="shared" si="5"/>
        <v>76009.423999999999</v>
      </c>
      <c r="H74" s="136">
        <f t="shared" si="5"/>
        <v>12407.8</v>
      </c>
      <c r="I74" s="136">
        <f t="shared" si="5"/>
        <v>12572.748</v>
      </c>
      <c r="J74" s="136">
        <f t="shared" si="5"/>
        <v>9193.6779999999981</v>
      </c>
      <c r="K74" s="136">
        <f t="shared" si="5"/>
        <v>93623.7</v>
      </c>
      <c r="L74" s="136">
        <f t="shared" si="5"/>
        <v>94468.359999999986</v>
      </c>
      <c r="M74" s="136">
        <f t="shared" si="5"/>
        <v>59102.883999999998</v>
      </c>
      <c r="N74" s="136">
        <f t="shared" si="5"/>
        <v>2000</v>
      </c>
      <c r="O74" s="136">
        <f t="shared" si="5"/>
        <v>2707.7799999999997</v>
      </c>
      <c r="P74" s="136">
        <f t="shared" si="5"/>
        <v>1228.8119999999999</v>
      </c>
      <c r="Q74" s="136">
        <f t="shared" si="5"/>
        <v>22742.1</v>
      </c>
      <c r="R74" s="136">
        <f t="shared" si="5"/>
        <v>25262.1</v>
      </c>
      <c r="S74" s="136">
        <f t="shared" si="5"/>
        <v>13892.828000000001</v>
      </c>
      <c r="T74" s="136">
        <f t="shared" si="5"/>
        <v>5903</v>
      </c>
      <c r="U74" s="136">
        <f t="shared" si="5"/>
        <v>5903</v>
      </c>
      <c r="V74" s="136">
        <f t="shared" si="5"/>
        <v>5491.9750000000004</v>
      </c>
      <c r="W74" s="136">
        <f t="shared" si="5"/>
        <v>0</v>
      </c>
      <c r="X74" s="136">
        <f t="shared" si="5"/>
        <v>0</v>
      </c>
      <c r="Y74" s="136">
        <f t="shared" si="5"/>
        <v>0</v>
      </c>
      <c r="Z74" s="136">
        <f t="shared" si="5"/>
        <v>0</v>
      </c>
      <c r="AA74" s="136">
        <f t="shared" si="5"/>
        <v>0</v>
      </c>
      <c r="AB74" s="136">
        <f t="shared" si="5"/>
        <v>0</v>
      </c>
      <c r="AC74" s="136">
        <f t="shared" si="5"/>
        <v>15259</v>
      </c>
      <c r="AD74" s="136">
        <f t="shared" si="5"/>
        <v>15509</v>
      </c>
      <c r="AE74" s="136">
        <f t="shared" si="5"/>
        <v>3607.9859999999999</v>
      </c>
      <c r="AF74" s="136">
        <f t="shared" si="5"/>
        <v>22643</v>
      </c>
      <c r="AG74" s="136">
        <f t="shared" si="5"/>
        <v>26870.351999999999</v>
      </c>
      <c r="AH74" s="136">
        <f t="shared" si="5"/>
        <v>24446.257000000001</v>
      </c>
      <c r="AI74" s="136">
        <f t="shared" si="5"/>
        <v>3829</v>
      </c>
      <c r="AJ74" s="136">
        <f t="shared" si="5"/>
        <v>4343.6189999999997</v>
      </c>
      <c r="AK74" s="136">
        <f t="shared" si="5"/>
        <v>0</v>
      </c>
      <c r="AL74" s="136">
        <f t="shared" si="5"/>
        <v>10927.733</v>
      </c>
      <c r="AM74" s="136">
        <f t="shared" si="5"/>
        <v>10927.733</v>
      </c>
      <c r="AN74" s="136">
        <f t="shared" si="5"/>
        <v>10927.733</v>
      </c>
      <c r="AO74" s="136">
        <f t="shared" si="5"/>
        <v>291345.33299999998</v>
      </c>
      <c r="AP74" s="136">
        <f t="shared" si="5"/>
        <v>301257.24400000001</v>
      </c>
      <c r="AQ74" s="136">
        <f t="shared" si="5"/>
        <v>203901.57700000002</v>
      </c>
      <c r="AR74" s="324">
        <f t="shared" ref="AR74:AR93" si="6">AQ74/AP74</f>
        <v>0.67683543237884769</v>
      </c>
      <c r="AS74" s="132"/>
      <c r="AT74" s="132"/>
      <c r="AU74" s="132"/>
      <c r="AV74" s="537"/>
      <c r="AW74" s="132"/>
      <c r="AX74" s="104"/>
      <c r="AY74" s="104"/>
    </row>
    <row r="75" spans="1:51" x14ac:dyDescent="0.25">
      <c r="A75" s="76">
        <v>71</v>
      </c>
      <c r="B75" s="76"/>
      <c r="C75" s="76"/>
      <c r="D75" s="103" t="s">
        <v>239</v>
      </c>
      <c r="E75" s="136">
        <f t="shared" ref="E75:AQ75" si="7">SUMIF($C5:$C64,"nem kötelező",E5:E64)</f>
        <v>22268</v>
      </c>
      <c r="F75" s="136">
        <f t="shared" si="7"/>
        <v>39928</v>
      </c>
      <c r="G75" s="136">
        <f t="shared" si="7"/>
        <v>6552.18</v>
      </c>
      <c r="H75" s="136">
        <f t="shared" si="7"/>
        <v>5460</v>
      </c>
      <c r="I75" s="136">
        <f t="shared" si="7"/>
        <v>8904.5</v>
      </c>
      <c r="J75" s="136">
        <f t="shared" si="7"/>
        <v>1190.4000000000001</v>
      </c>
      <c r="K75" s="136">
        <f t="shared" si="7"/>
        <v>67430</v>
      </c>
      <c r="L75" s="136">
        <f t="shared" si="7"/>
        <v>71692.350000000006</v>
      </c>
      <c r="M75" s="136">
        <f t="shared" si="7"/>
        <v>26026.056</v>
      </c>
      <c r="N75" s="136">
        <f t="shared" si="7"/>
        <v>3400</v>
      </c>
      <c r="O75" s="136">
        <f t="shared" si="7"/>
        <v>3400</v>
      </c>
      <c r="P75" s="136">
        <f t="shared" si="7"/>
        <v>1162.3700000000001</v>
      </c>
      <c r="Q75" s="136">
        <f t="shared" si="7"/>
        <v>4250</v>
      </c>
      <c r="R75" s="136">
        <f t="shared" si="7"/>
        <v>4600</v>
      </c>
      <c r="S75" s="136">
        <f t="shared" si="7"/>
        <v>3645</v>
      </c>
      <c r="T75" s="136">
        <f t="shared" si="7"/>
        <v>1475</v>
      </c>
      <c r="U75" s="136">
        <f t="shared" si="7"/>
        <v>1475</v>
      </c>
      <c r="V75" s="136">
        <f t="shared" si="7"/>
        <v>869.03199999999993</v>
      </c>
      <c r="W75" s="136">
        <f t="shared" si="7"/>
        <v>0</v>
      </c>
      <c r="X75" s="136">
        <f t="shared" si="7"/>
        <v>0</v>
      </c>
      <c r="Y75" s="136">
        <f t="shared" si="7"/>
        <v>0</v>
      </c>
      <c r="Z75" s="136">
        <f t="shared" si="7"/>
        <v>0</v>
      </c>
      <c r="AA75" s="136">
        <f t="shared" si="7"/>
        <v>0</v>
      </c>
      <c r="AB75" s="136">
        <f t="shared" si="7"/>
        <v>0</v>
      </c>
      <c r="AC75" s="136">
        <f t="shared" si="7"/>
        <v>606922</v>
      </c>
      <c r="AD75" s="136">
        <f t="shared" si="7"/>
        <v>597434.66599999997</v>
      </c>
      <c r="AE75" s="136">
        <f t="shared" si="7"/>
        <v>0</v>
      </c>
      <c r="AF75" s="136">
        <f t="shared" si="7"/>
        <v>0</v>
      </c>
      <c r="AG75" s="136">
        <f t="shared" si="7"/>
        <v>0</v>
      </c>
      <c r="AH75" s="136">
        <f t="shared" si="7"/>
        <v>0</v>
      </c>
      <c r="AI75" s="136">
        <f t="shared" si="7"/>
        <v>22277.298999999999</v>
      </c>
      <c r="AJ75" s="136">
        <f t="shared" si="7"/>
        <v>17846.892</v>
      </c>
      <c r="AK75" s="136">
        <f t="shared" si="7"/>
        <v>0</v>
      </c>
      <c r="AL75" s="136">
        <f t="shared" si="7"/>
        <v>0</v>
      </c>
      <c r="AM75" s="136">
        <f t="shared" si="7"/>
        <v>0</v>
      </c>
      <c r="AN75" s="136">
        <f t="shared" si="7"/>
        <v>0</v>
      </c>
      <c r="AO75" s="136">
        <f t="shared" si="7"/>
        <v>733482.29900000012</v>
      </c>
      <c r="AP75" s="136">
        <f t="shared" si="7"/>
        <v>745281.40799999994</v>
      </c>
      <c r="AQ75" s="136">
        <f t="shared" si="7"/>
        <v>39445.038</v>
      </c>
      <c r="AR75" s="324">
        <f t="shared" si="6"/>
        <v>5.2926367914976895E-2</v>
      </c>
      <c r="AS75" s="136">
        <f>SUMIF($C5:$C64,"nem kötelező",AS5:AS64)</f>
        <v>0</v>
      </c>
      <c r="AT75" s="136"/>
      <c r="AU75" s="136"/>
      <c r="AV75" s="538"/>
      <c r="AW75" s="132"/>
      <c r="AX75" s="104"/>
      <c r="AY75" s="104"/>
    </row>
    <row r="76" spans="1:51" s="107" customFormat="1" x14ac:dyDescent="0.25">
      <c r="A76" s="76">
        <v>72</v>
      </c>
      <c r="B76" s="76"/>
      <c r="C76" s="105"/>
      <c r="D76" s="106" t="s">
        <v>315</v>
      </c>
      <c r="E76" s="138">
        <f>SUM(E77:E78)</f>
        <v>58457</v>
      </c>
      <c r="F76" s="138">
        <f>SUM(F77:F78)</f>
        <v>59837.4</v>
      </c>
      <c r="G76" s="138">
        <f>SUM(G77:G78)</f>
        <v>43451.853999999999</v>
      </c>
      <c r="H76" s="138">
        <f t="shared" ref="H76:AU76" si="8">SUM(H77:H78)</f>
        <v>11630</v>
      </c>
      <c r="I76" s="138">
        <f t="shared" si="8"/>
        <v>11896.075999999999</v>
      </c>
      <c r="J76" s="138">
        <f t="shared" si="8"/>
        <v>7975.0349999999999</v>
      </c>
      <c r="K76" s="138">
        <f t="shared" si="8"/>
        <v>10495</v>
      </c>
      <c r="L76" s="138">
        <f t="shared" si="8"/>
        <v>10591.824000000001</v>
      </c>
      <c r="M76" s="138">
        <f t="shared" si="8"/>
        <v>7136.0370000000003</v>
      </c>
      <c r="N76" s="138">
        <f t="shared" si="8"/>
        <v>0</v>
      </c>
      <c r="O76" s="138">
        <f t="shared" si="8"/>
        <v>0</v>
      </c>
      <c r="P76" s="138">
        <f t="shared" si="8"/>
        <v>0</v>
      </c>
      <c r="Q76" s="138">
        <f t="shared" si="8"/>
        <v>0</v>
      </c>
      <c r="R76" s="138">
        <f t="shared" si="8"/>
        <v>0</v>
      </c>
      <c r="S76" s="138">
        <f t="shared" si="8"/>
        <v>0</v>
      </c>
      <c r="T76" s="138">
        <f t="shared" si="8"/>
        <v>0</v>
      </c>
      <c r="U76" s="138">
        <f t="shared" si="8"/>
        <v>0</v>
      </c>
      <c r="V76" s="138">
        <f t="shared" si="8"/>
        <v>0</v>
      </c>
      <c r="W76" s="138">
        <f t="shared" si="8"/>
        <v>0</v>
      </c>
      <c r="X76" s="138">
        <f t="shared" si="8"/>
        <v>0</v>
      </c>
      <c r="Y76" s="138">
        <f t="shared" si="8"/>
        <v>0</v>
      </c>
      <c r="Z76" s="138">
        <v>0</v>
      </c>
      <c r="AA76" s="138">
        <v>0</v>
      </c>
      <c r="AB76" s="138">
        <v>0</v>
      </c>
      <c r="AC76" s="138">
        <f t="shared" si="8"/>
        <v>127</v>
      </c>
      <c r="AD76" s="138">
        <f t="shared" si="8"/>
        <v>147</v>
      </c>
      <c r="AE76" s="138">
        <f t="shared" si="8"/>
        <v>140.059</v>
      </c>
      <c r="AF76" s="138">
        <f t="shared" si="8"/>
        <v>0</v>
      </c>
      <c r="AG76" s="138">
        <f t="shared" si="8"/>
        <v>0</v>
      </c>
      <c r="AH76" s="138">
        <f t="shared" si="8"/>
        <v>0</v>
      </c>
      <c r="AI76" s="138">
        <f t="shared" si="8"/>
        <v>0</v>
      </c>
      <c r="AJ76" s="138">
        <f t="shared" si="8"/>
        <v>0</v>
      </c>
      <c r="AK76" s="138">
        <f t="shared" si="8"/>
        <v>0</v>
      </c>
      <c r="AL76" s="138">
        <f t="shared" si="8"/>
        <v>0</v>
      </c>
      <c r="AM76" s="138">
        <f t="shared" si="8"/>
        <v>0</v>
      </c>
      <c r="AN76" s="138">
        <f t="shared" si="8"/>
        <v>0</v>
      </c>
      <c r="AO76" s="138">
        <f>SUM(AO77:AO78)</f>
        <v>80709</v>
      </c>
      <c r="AP76" s="138">
        <f>SUM(AP77:AP78)</f>
        <v>82472.3</v>
      </c>
      <c r="AQ76" s="138">
        <f>SUM(AQ77:AQ78)</f>
        <v>58702.984999999993</v>
      </c>
      <c r="AR76" s="324">
        <f t="shared" si="6"/>
        <v>0.71179032232640527</v>
      </c>
      <c r="AS76" s="138">
        <f t="shared" si="8"/>
        <v>80370.899999999994</v>
      </c>
      <c r="AT76" s="138">
        <f t="shared" si="8"/>
        <v>80609.137000000002</v>
      </c>
      <c r="AU76" s="138">
        <f t="shared" si="8"/>
        <v>58233.065000000002</v>
      </c>
      <c r="AV76" s="541">
        <f>AU76/AT76</f>
        <v>0.72241270862383755</v>
      </c>
      <c r="AW76" s="132"/>
      <c r="AX76" s="104"/>
      <c r="AY76" s="104"/>
    </row>
    <row r="77" spans="1:51" x14ac:dyDescent="0.25">
      <c r="A77" s="76">
        <v>73</v>
      </c>
      <c r="B77" s="76"/>
      <c r="C77" s="76" t="s">
        <v>207</v>
      </c>
      <c r="D77" s="108" t="s">
        <v>238</v>
      </c>
      <c r="E77" s="133">
        <v>52457</v>
      </c>
      <c r="F77" s="133">
        <v>53837.4</v>
      </c>
      <c r="G77" s="133">
        <v>38951.853999999999</v>
      </c>
      <c r="H77" s="133">
        <v>10460</v>
      </c>
      <c r="I77" s="133">
        <v>10726.075999999999</v>
      </c>
      <c r="J77" s="133">
        <v>7097.5349999999999</v>
      </c>
      <c r="K77" s="133">
        <v>10495</v>
      </c>
      <c r="L77" s="133">
        <v>10591.824000000001</v>
      </c>
      <c r="M77" s="133">
        <v>7136.0370000000003</v>
      </c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>
        <v>127</v>
      </c>
      <c r="AD77" s="133">
        <v>147</v>
      </c>
      <c r="AE77" s="133">
        <v>140.059</v>
      </c>
      <c r="AF77" s="133"/>
      <c r="AG77" s="133"/>
      <c r="AH77" s="133"/>
      <c r="AI77" s="133"/>
      <c r="AJ77" s="133"/>
      <c r="AK77" s="133"/>
      <c r="AL77" s="133"/>
      <c r="AM77" s="133"/>
      <c r="AN77" s="133"/>
      <c r="AO77" s="133">
        <f t="shared" ref="AO77:AQ78" si="9">E77+H77+K77+N77+Q77+T77+W77+Z77+AC77+AF77+AI77+AL77</f>
        <v>73539</v>
      </c>
      <c r="AP77" s="133">
        <f t="shared" si="9"/>
        <v>75302.3</v>
      </c>
      <c r="AQ77" s="133">
        <f t="shared" si="9"/>
        <v>53325.484999999993</v>
      </c>
      <c r="AR77" s="324">
        <f t="shared" si="6"/>
        <v>0.70815214143525484</v>
      </c>
      <c r="AS77" s="139">
        <v>73200.899999999994</v>
      </c>
      <c r="AT77" s="139">
        <v>73439.137000000002</v>
      </c>
      <c r="AU77" s="139">
        <v>52855.565000000002</v>
      </c>
      <c r="AV77" s="541">
        <f t="shared" ref="AV77:AV93" si="10">AU77/AT77</f>
        <v>0.71971930988241328</v>
      </c>
      <c r="AW77" s="139"/>
      <c r="AX77" s="109"/>
      <c r="AY77" s="109"/>
    </row>
    <row r="78" spans="1:51" x14ac:dyDescent="0.25">
      <c r="A78" s="76">
        <v>74</v>
      </c>
      <c r="B78" s="76"/>
      <c r="C78" s="76" t="s">
        <v>306</v>
      </c>
      <c r="D78" s="108" t="s">
        <v>305</v>
      </c>
      <c r="E78" s="133">
        <v>6000</v>
      </c>
      <c r="F78" s="133">
        <v>6000</v>
      </c>
      <c r="G78" s="133">
        <v>4500</v>
      </c>
      <c r="H78" s="133">
        <v>1170</v>
      </c>
      <c r="I78" s="133">
        <v>1170</v>
      </c>
      <c r="J78" s="133">
        <v>877.5</v>
      </c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>
        <f t="shared" si="9"/>
        <v>7170</v>
      </c>
      <c r="AP78" s="133">
        <f t="shared" si="9"/>
        <v>7170</v>
      </c>
      <c r="AQ78" s="133">
        <f t="shared" si="9"/>
        <v>5377.5</v>
      </c>
      <c r="AR78" s="324">
        <f t="shared" si="6"/>
        <v>0.75</v>
      </c>
      <c r="AS78" s="139">
        <v>7170</v>
      </c>
      <c r="AT78" s="139">
        <v>7170</v>
      </c>
      <c r="AU78" s="139">
        <v>5377.5</v>
      </c>
      <c r="AV78" s="541">
        <f t="shared" si="10"/>
        <v>0.75</v>
      </c>
      <c r="AW78" s="139"/>
      <c r="AX78" s="109"/>
      <c r="AY78" s="109"/>
    </row>
    <row r="79" spans="1:51" s="107" customFormat="1" x14ac:dyDescent="0.25">
      <c r="A79" s="76">
        <v>75</v>
      </c>
      <c r="B79" s="76"/>
      <c r="C79" s="105"/>
      <c r="D79" s="106" t="s">
        <v>240</v>
      </c>
      <c r="E79" s="138">
        <f>SUM(E80:E81)</f>
        <v>76226</v>
      </c>
      <c r="F79" s="138">
        <f>SUM(F80:F81)</f>
        <v>76563.600000000006</v>
      </c>
      <c r="G79" s="138">
        <f>SUM(G80:G81)</f>
        <v>53624.154999999999</v>
      </c>
      <c r="H79" s="138">
        <f t="shared" ref="H79:AU79" si="11">SUM(H80:H81)</f>
        <v>14952</v>
      </c>
      <c r="I79" s="138">
        <f t="shared" si="11"/>
        <v>15015.057000000001</v>
      </c>
      <c r="J79" s="138">
        <f t="shared" si="11"/>
        <v>10692.165000000001</v>
      </c>
      <c r="K79" s="138">
        <f t="shared" si="11"/>
        <v>6263</v>
      </c>
      <c r="L79" s="138">
        <f t="shared" si="11"/>
        <v>6219</v>
      </c>
      <c r="M79" s="138">
        <f t="shared" si="11"/>
        <v>2798.5819999999999</v>
      </c>
      <c r="N79" s="138">
        <f t="shared" si="11"/>
        <v>0</v>
      </c>
      <c r="O79" s="138">
        <f t="shared" si="11"/>
        <v>0</v>
      </c>
      <c r="P79" s="138">
        <f t="shared" si="11"/>
        <v>0</v>
      </c>
      <c r="Q79" s="138">
        <f t="shared" si="11"/>
        <v>0</v>
      </c>
      <c r="R79" s="138">
        <f t="shared" si="11"/>
        <v>0</v>
      </c>
      <c r="S79" s="138">
        <f t="shared" si="11"/>
        <v>0</v>
      </c>
      <c r="T79" s="138">
        <f t="shared" si="11"/>
        <v>0</v>
      </c>
      <c r="U79" s="138">
        <f t="shared" si="11"/>
        <v>0</v>
      </c>
      <c r="V79" s="138">
        <f t="shared" si="11"/>
        <v>0</v>
      </c>
      <c r="W79" s="138">
        <f t="shared" si="11"/>
        <v>0</v>
      </c>
      <c r="X79" s="138">
        <f t="shared" si="11"/>
        <v>0</v>
      </c>
      <c r="Y79" s="138">
        <f t="shared" si="11"/>
        <v>0</v>
      </c>
      <c r="Z79" s="138">
        <f t="shared" si="11"/>
        <v>0</v>
      </c>
      <c r="AA79" s="138">
        <f t="shared" si="11"/>
        <v>0</v>
      </c>
      <c r="AB79" s="138">
        <f t="shared" si="11"/>
        <v>0</v>
      </c>
      <c r="AC79" s="138">
        <f t="shared" si="11"/>
        <v>127</v>
      </c>
      <c r="AD79" s="138">
        <f t="shared" si="11"/>
        <v>227</v>
      </c>
      <c r="AE79" s="138">
        <f t="shared" si="11"/>
        <v>0</v>
      </c>
      <c r="AF79" s="138">
        <f t="shared" si="11"/>
        <v>0</v>
      </c>
      <c r="AG79" s="138">
        <f t="shared" si="11"/>
        <v>0</v>
      </c>
      <c r="AH79" s="138">
        <f t="shared" si="11"/>
        <v>0</v>
      </c>
      <c r="AI79" s="138">
        <f t="shared" si="11"/>
        <v>0</v>
      </c>
      <c r="AJ79" s="138">
        <f t="shared" si="11"/>
        <v>0</v>
      </c>
      <c r="AK79" s="138">
        <f t="shared" si="11"/>
        <v>0</v>
      </c>
      <c r="AL79" s="138">
        <f t="shared" si="11"/>
        <v>0</v>
      </c>
      <c r="AM79" s="138">
        <f t="shared" si="11"/>
        <v>0</v>
      </c>
      <c r="AN79" s="138">
        <f t="shared" si="11"/>
        <v>0</v>
      </c>
      <c r="AO79" s="138">
        <f t="shared" si="11"/>
        <v>97568</v>
      </c>
      <c r="AP79" s="138">
        <f t="shared" si="11"/>
        <v>98024.657000000007</v>
      </c>
      <c r="AQ79" s="138">
        <f t="shared" si="11"/>
        <v>67114.902000000002</v>
      </c>
      <c r="AR79" s="324">
        <f t="shared" si="6"/>
        <v>0.68467367348196895</v>
      </c>
      <c r="AS79" s="138">
        <f t="shared" si="11"/>
        <v>97262.9</v>
      </c>
      <c r="AT79" s="138">
        <f t="shared" si="11"/>
        <v>97719.557000000001</v>
      </c>
      <c r="AU79" s="138">
        <f t="shared" si="11"/>
        <v>67450.64</v>
      </c>
      <c r="AV79" s="541">
        <f t="shared" si="10"/>
        <v>0.69024709148036767</v>
      </c>
      <c r="AW79" s="132"/>
      <c r="AX79" s="104"/>
      <c r="AY79" s="104"/>
    </row>
    <row r="80" spans="1:51" x14ac:dyDescent="0.25">
      <c r="A80" s="76">
        <v>76</v>
      </c>
      <c r="B80" s="76"/>
      <c r="C80" s="76" t="s">
        <v>207</v>
      </c>
      <c r="D80" s="108" t="s">
        <v>238</v>
      </c>
      <c r="E80" s="133">
        <v>76101</v>
      </c>
      <c r="F80" s="133">
        <v>76438.600000000006</v>
      </c>
      <c r="G80" s="133">
        <v>53624.154999999999</v>
      </c>
      <c r="H80" s="133">
        <v>14932</v>
      </c>
      <c r="I80" s="133">
        <v>14995.057000000001</v>
      </c>
      <c r="J80" s="133">
        <v>10692.165000000001</v>
      </c>
      <c r="K80" s="133">
        <v>6238</v>
      </c>
      <c r="L80" s="133">
        <v>6194</v>
      </c>
      <c r="M80" s="133">
        <v>2798.5819999999999</v>
      </c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>
        <v>127</v>
      </c>
      <c r="AD80" s="133">
        <v>227</v>
      </c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>
        <f t="shared" ref="AO80:AQ81" si="12">E80+H80+K80+N80+Q80+T80+W80+Z80+AC80+AF80+AI80+AL80</f>
        <v>97398</v>
      </c>
      <c r="AP80" s="133">
        <f t="shared" si="12"/>
        <v>97854.657000000007</v>
      </c>
      <c r="AQ80" s="133">
        <f t="shared" si="12"/>
        <v>67114.902000000002</v>
      </c>
      <c r="AR80" s="324">
        <f t="shared" si="6"/>
        <v>0.68586313679480782</v>
      </c>
      <c r="AS80" s="139">
        <v>97092.9</v>
      </c>
      <c r="AT80" s="139">
        <v>97549.557000000001</v>
      </c>
      <c r="AU80" s="139">
        <v>67450.64</v>
      </c>
      <c r="AV80" s="541">
        <f t="shared" si="10"/>
        <v>0.69144998782516254</v>
      </c>
      <c r="AW80" s="139"/>
      <c r="AX80" s="109"/>
      <c r="AY80" s="109"/>
    </row>
    <row r="81" spans="1:52" x14ac:dyDescent="0.25">
      <c r="A81" s="76">
        <v>77</v>
      </c>
      <c r="B81" s="76"/>
      <c r="C81" s="76" t="s">
        <v>213</v>
      </c>
      <c r="D81" s="108" t="s">
        <v>239</v>
      </c>
      <c r="E81" s="133">
        <v>125</v>
      </c>
      <c r="F81" s="133">
        <v>125</v>
      </c>
      <c r="G81" s="133"/>
      <c r="H81" s="133">
        <v>20</v>
      </c>
      <c r="I81" s="133">
        <v>20</v>
      </c>
      <c r="J81" s="133"/>
      <c r="K81" s="133">
        <v>25</v>
      </c>
      <c r="L81" s="133">
        <v>25</v>
      </c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>
        <f t="shared" si="12"/>
        <v>170</v>
      </c>
      <c r="AP81" s="133">
        <f t="shared" si="12"/>
        <v>170</v>
      </c>
      <c r="AQ81" s="133">
        <f t="shared" si="12"/>
        <v>0</v>
      </c>
      <c r="AR81" s="324">
        <f t="shared" si="6"/>
        <v>0</v>
      </c>
      <c r="AS81" s="139">
        <v>170</v>
      </c>
      <c r="AT81" s="139">
        <v>170</v>
      </c>
      <c r="AU81" s="139"/>
      <c r="AV81" s="541">
        <f t="shared" si="10"/>
        <v>0</v>
      </c>
      <c r="AW81" s="139"/>
      <c r="AX81" s="109"/>
      <c r="AY81" s="109"/>
    </row>
    <row r="82" spans="1:52" s="107" customFormat="1" x14ac:dyDescent="0.25">
      <c r="A82" s="76">
        <v>78</v>
      </c>
      <c r="B82" s="76"/>
      <c r="C82" s="105"/>
      <c r="D82" s="106" t="s">
        <v>241</v>
      </c>
      <c r="E82" s="138">
        <f>SUM(E83:E84)</f>
        <v>81168</v>
      </c>
      <c r="F82" s="138">
        <f>SUM(F83:F84)</f>
        <v>92683</v>
      </c>
      <c r="G82" s="138">
        <f>SUM(G83:G84)</f>
        <v>65326.659999999996</v>
      </c>
      <c r="H82" s="138">
        <f t="shared" ref="H82:AU82" si="13">SUM(H83:H84)</f>
        <v>15783</v>
      </c>
      <c r="I82" s="138">
        <f t="shared" si="13"/>
        <v>18030.826000000001</v>
      </c>
      <c r="J82" s="138">
        <f t="shared" si="13"/>
        <v>13012.976999999999</v>
      </c>
      <c r="K82" s="138">
        <f t="shared" si="13"/>
        <v>46957</v>
      </c>
      <c r="L82" s="138">
        <f t="shared" si="13"/>
        <v>46957</v>
      </c>
      <c r="M82" s="138">
        <f t="shared" si="13"/>
        <v>25982.195</v>
      </c>
      <c r="N82" s="138">
        <f t="shared" si="13"/>
        <v>0</v>
      </c>
      <c r="O82" s="138">
        <f t="shared" si="13"/>
        <v>0</v>
      </c>
      <c r="P82" s="138">
        <f t="shared" si="13"/>
        <v>0</v>
      </c>
      <c r="Q82" s="138">
        <f t="shared" si="13"/>
        <v>120</v>
      </c>
      <c r="R82" s="138">
        <f t="shared" si="13"/>
        <v>120</v>
      </c>
      <c r="S82" s="138">
        <f t="shared" si="13"/>
        <v>90</v>
      </c>
      <c r="T82" s="138">
        <f t="shared" si="13"/>
        <v>0</v>
      </c>
      <c r="U82" s="138">
        <f t="shared" si="13"/>
        <v>0</v>
      </c>
      <c r="V82" s="138">
        <f t="shared" si="13"/>
        <v>0</v>
      </c>
      <c r="W82" s="138">
        <f t="shared" si="13"/>
        <v>0</v>
      </c>
      <c r="X82" s="138">
        <f t="shared" si="13"/>
        <v>0</v>
      </c>
      <c r="Y82" s="138">
        <f t="shared" si="13"/>
        <v>0</v>
      </c>
      <c r="Z82" s="138">
        <v>0</v>
      </c>
      <c r="AA82" s="138">
        <v>0</v>
      </c>
      <c r="AB82" s="138">
        <v>0</v>
      </c>
      <c r="AC82" s="138">
        <f t="shared" si="13"/>
        <v>127</v>
      </c>
      <c r="AD82" s="138">
        <f t="shared" si="13"/>
        <v>127</v>
      </c>
      <c r="AE82" s="138">
        <f t="shared" si="13"/>
        <v>28.799999999999997</v>
      </c>
      <c r="AF82" s="138">
        <f t="shared" si="13"/>
        <v>0</v>
      </c>
      <c r="AG82" s="138">
        <f t="shared" si="13"/>
        <v>0</v>
      </c>
      <c r="AH82" s="138">
        <f t="shared" si="13"/>
        <v>0</v>
      </c>
      <c r="AI82" s="138">
        <f t="shared" si="13"/>
        <v>0</v>
      </c>
      <c r="AJ82" s="138">
        <f t="shared" si="13"/>
        <v>0</v>
      </c>
      <c r="AK82" s="138">
        <f t="shared" si="13"/>
        <v>0</v>
      </c>
      <c r="AL82" s="138">
        <f t="shared" si="13"/>
        <v>0</v>
      </c>
      <c r="AM82" s="138">
        <f t="shared" si="13"/>
        <v>0</v>
      </c>
      <c r="AN82" s="138">
        <f t="shared" si="13"/>
        <v>0</v>
      </c>
      <c r="AO82" s="138">
        <f t="shared" si="13"/>
        <v>144155</v>
      </c>
      <c r="AP82" s="138">
        <f t="shared" si="13"/>
        <v>157917.826</v>
      </c>
      <c r="AQ82" s="138">
        <f t="shared" ref="AQ82" si="14">SUM(AQ83:AQ84)</f>
        <v>104440.632</v>
      </c>
      <c r="AR82" s="324">
        <f t="shared" si="6"/>
        <v>0.66136062435408649</v>
      </c>
      <c r="AS82" s="138">
        <f t="shared" si="13"/>
        <v>110751</v>
      </c>
      <c r="AT82" s="138">
        <f t="shared" si="13"/>
        <v>124030.327</v>
      </c>
      <c r="AU82" s="138">
        <f t="shared" si="13"/>
        <v>79449.572</v>
      </c>
      <c r="AV82" s="541">
        <f t="shared" si="10"/>
        <v>0.64056569003482511</v>
      </c>
      <c r="AW82" s="132"/>
      <c r="AX82" s="104"/>
      <c r="AY82" s="104"/>
    </row>
    <row r="83" spans="1:52" x14ac:dyDescent="0.25">
      <c r="A83" s="76">
        <v>79</v>
      </c>
      <c r="B83" s="76"/>
      <c r="C83" s="76" t="s">
        <v>207</v>
      </c>
      <c r="D83" s="108" t="s">
        <v>238</v>
      </c>
      <c r="E83" s="133">
        <v>31290</v>
      </c>
      <c r="F83" s="133">
        <v>37046.400000000001</v>
      </c>
      <c r="G83" s="133">
        <v>26768.267</v>
      </c>
      <c r="H83" s="133">
        <v>6095</v>
      </c>
      <c r="I83" s="133">
        <v>7220.1270000000004</v>
      </c>
      <c r="J83" s="133">
        <v>5384.8059999999996</v>
      </c>
      <c r="K83" s="133">
        <v>14365</v>
      </c>
      <c r="L83" s="133">
        <v>14365</v>
      </c>
      <c r="M83" s="133">
        <v>7486.4880000000003</v>
      </c>
      <c r="N83" s="133"/>
      <c r="O83" s="133"/>
      <c r="P83" s="133"/>
      <c r="Q83" s="133">
        <v>120</v>
      </c>
      <c r="R83" s="133">
        <v>120</v>
      </c>
      <c r="S83" s="133">
        <v>90</v>
      </c>
      <c r="T83" s="133"/>
      <c r="U83" s="133"/>
      <c r="V83" s="133"/>
      <c r="W83" s="133"/>
      <c r="X83" s="133"/>
      <c r="Y83" s="133"/>
      <c r="Z83" s="133"/>
      <c r="AA83" s="133"/>
      <c r="AB83" s="133"/>
      <c r="AC83" s="133">
        <v>127</v>
      </c>
      <c r="AD83" s="133"/>
      <c r="AE83" s="133">
        <v>11.9</v>
      </c>
      <c r="AF83" s="133"/>
      <c r="AG83" s="133"/>
      <c r="AH83" s="133"/>
      <c r="AI83" s="133"/>
      <c r="AJ83" s="133"/>
      <c r="AK83" s="133"/>
      <c r="AL83" s="133"/>
      <c r="AM83" s="133"/>
      <c r="AN83" s="133"/>
      <c r="AO83" s="133">
        <f t="shared" ref="AO83:AQ84" si="15">E83+H83+K83+N83+Q83+T83+W83+Z83+AC83+AF83+AI83+AL83</f>
        <v>51997</v>
      </c>
      <c r="AP83" s="133">
        <f t="shared" si="15"/>
        <v>58751.527000000002</v>
      </c>
      <c r="AQ83" s="133">
        <f t="shared" si="15"/>
        <v>39741.461000000003</v>
      </c>
      <c r="AR83" s="324">
        <f t="shared" si="6"/>
        <v>0.67643281850359394</v>
      </c>
      <c r="AS83" s="139">
        <v>47013</v>
      </c>
      <c r="AT83" s="139">
        <v>53894.527000000002</v>
      </c>
      <c r="AU83" s="139">
        <v>36352.980000000003</v>
      </c>
      <c r="AV83" s="541">
        <f t="shared" si="10"/>
        <v>0.67452080987741114</v>
      </c>
      <c r="AW83" s="139"/>
      <c r="AX83" s="109"/>
      <c r="AY83" s="109"/>
    </row>
    <row r="84" spans="1:52" x14ac:dyDescent="0.25">
      <c r="A84" s="76">
        <v>80</v>
      </c>
      <c r="B84" s="76"/>
      <c r="C84" s="76" t="s">
        <v>213</v>
      </c>
      <c r="D84" s="108" t="s">
        <v>239</v>
      </c>
      <c r="E84" s="133">
        <v>49878</v>
      </c>
      <c r="F84" s="133">
        <v>55636.6</v>
      </c>
      <c r="G84" s="133">
        <v>38558.392999999996</v>
      </c>
      <c r="H84" s="133">
        <v>9688</v>
      </c>
      <c r="I84" s="133">
        <v>10810.699000000001</v>
      </c>
      <c r="J84" s="133">
        <v>7628.1710000000003</v>
      </c>
      <c r="K84" s="133">
        <v>32592</v>
      </c>
      <c r="L84" s="133">
        <v>32592</v>
      </c>
      <c r="M84" s="133">
        <v>18495.706999999999</v>
      </c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>
        <v>127</v>
      </c>
      <c r="AE84" s="133">
        <v>16.899999999999999</v>
      </c>
      <c r="AF84" s="133"/>
      <c r="AG84" s="133"/>
      <c r="AH84" s="133"/>
      <c r="AI84" s="133"/>
      <c r="AJ84" s="133"/>
      <c r="AK84" s="133"/>
      <c r="AL84" s="133"/>
      <c r="AM84" s="133"/>
      <c r="AN84" s="133"/>
      <c r="AO84" s="133">
        <f t="shared" si="15"/>
        <v>92158</v>
      </c>
      <c r="AP84" s="133">
        <f t="shared" si="15"/>
        <v>99166.298999999999</v>
      </c>
      <c r="AQ84" s="133">
        <f t="shared" si="15"/>
        <v>64699.170999999995</v>
      </c>
      <c r="AR84" s="324">
        <f t="shared" si="6"/>
        <v>0.65243103405522873</v>
      </c>
      <c r="AS84" s="139">
        <v>63738</v>
      </c>
      <c r="AT84" s="139">
        <v>70135.8</v>
      </c>
      <c r="AU84" s="139">
        <v>43096.591999999997</v>
      </c>
      <c r="AV84" s="541">
        <f t="shared" si="10"/>
        <v>0.61447352136854494</v>
      </c>
      <c r="AW84" s="139"/>
      <c r="AX84" s="109"/>
      <c r="AY84" s="109"/>
    </row>
    <row r="85" spans="1:52" s="107" customFormat="1" x14ac:dyDescent="0.25">
      <c r="A85" s="76">
        <v>81</v>
      </c>
      <c r="B85" s="76"/>
      <c r="C85" s="105"/>
      <c r="D85" s="106" t="s">
        <v>344</v>
      </c>
      <c r="E85" s="138">
        <f>SUM(E86:E87)</f>
        <v>11450</v>
      </c>
      <c r="F85" s="138">
        <f>SUM(F86:F87)</f>
        <v>12362.73</v>
      </c>
      <c r="G85" s="138">
        <f>SUM(G86:G87)</f>
        <v>7794.5730000000003</v>
      </c>
      <c r="H85" s="138">
        <f t="shared" ref="H85:AU85" si="16">SUM(H86:H87)</f>
        <v>2311</v>
      </c>
      <c r="I85" s="138">
        <f t="shared" si="16"/>
        <v>2440.5830000000001</v>
      </c>
      <c r="J85" s="138">
        <f t="shared" si="16"/>
        <v>1246.309</v>
      </c>
      <c r="K85" s="138">
        <f t="shared" si="16"/>
        <v>32367</v>
      </c>
      <c r="L85" s="138">
        <f t="shared" si="16"/>
        <v>32461.203999999998</v>
      </c>
      <c r="M85" s="138">
        <f t="shared" si="16"/>
        <v>12935.226999999999</v>
      </c>
      <c r="N85" s="138">
        <f t="shared" si="16"/>
        <v>0</v>
      </c>
      <c r="O85" s="138">
        <f t="shared" si="16"/>
        <v>0</v>
      </c>
      <c r="P85" s="138">
        <f t="shared" si="16"/>
        <v>0</v>
      </c>
      <c r="Q85" s="138">
        <f t="shared" si="16"/>
        <v>0</v>
      </c>
      <c r="R85" s="138">
        <f t="shared" si="16"/>
        <v>0</v>
      </c>
      <c r="S85" s="138">
        <f t="shared" si="16"/>
        <v>0</v>
      </c>
      <c r="T85" s="138">
        <f t="shared" si="16"/>
        <v>0</v>
      </c>
      <c r="U85" s="138">
        <f t="shared" si="16"/>
        <v>0</v>
      </c>
      <c r="V85" s="138">
        <f t="shared" si="16"/>
        <v>0</v>
      </c>
      <c r="W85" s="138">
        <f t="shared" si="16"/>
        <v>0</v>
      </c>
      <c r="X85" s="138">
        <f t="shared" si="16"/>
        <v>0</v>
      </c>
      <c r="Y85" s="138">
        <f t="shared" si="16"/>
        <v>0</v>
      </c>
      <c r="Z85" s="138">
        <f t="shared" si="16"/>
        <v>0</v>
      </c>
      <c r="AA85" s="138">
        <f t="shared" si="16"/>
        <v>0</v>
      </c>
      <c r="AB85" s="138">
        <f t="shared" si="16"/>
        <v>0</v>
      </c>
      <c r="AC85" s="138">
        <f t="shared" si="16"/>
        <v>127</v>
      </c>
      <c r="AD85" s="138">
        <f t="shared" si="16"/>
        <v>227</v>
      </c>
      <c r="AE85" s="138">
        <f t="shared" si="16"/>
        <v>163.214</v>
      </c>
      <c r="AF85" s="138">
        <f t="shared" si="16"/>
        <v>0</v>
      </c>
      <c r="AG85" s="138">
        <f t="shared" si="16"/>
        <v>0</v>
      </c>
      <c r="AH85" s="138">
        <f t="shared" si="16"/>
        <v>0</v>
      </c>
      <c r="AI85" s="138">
        <f t="shared" si="16"/>
        <v>0</v>
      </c>
      <c r="AJ85" s="138">
        <f t="shared" si="16"/>
        <v>0</v>
      </c>
      <c r="AK85" s="138">
        <f t="shared" si="16"/>
        <v>0</v>
      </c>
      <c r="AL85" s="138">
        <f t="shared" si="16"/>
        <v>0</v>
      </c>
      <c r="AM85" s="138">
        <f t="shared" si="16"/>
        <v>0</v>
      </c>
      <c r="AN85" s="138">
        <f t="shared" si="16"/>
        <v>0</v>
      </c>
      <c r="AO85" s="138">
        <f t="shared" si="16"/>
        <v>46255</v>
      </c>
      <c r="AP85" s="138">
        <f t="shared" si="16"/>
        <v>47491.517</v>
      </c>
      <c r="AQ85" s="138">
        <f t="shared" ref="AQ85" si="17">SUM(AQ86:AQ87)</f>
        <v>22139.322999999997</v>
      </c>
      <c r="AR85" s="324">
        <f t="shared" si="6"/>
        <v>0.46617426434282982</v>
      </c>
      <c r="AS85" s="138">
        <f t="shared" si="16"/>
        <v>23647.9</v>
      </c>
      <c r="AT85" s="138">
        <f t="shared" si="16"/>
        <v>24627.816999999999</v>
      </c>
      <c r="AU85" s="138">
        <f t="shared" si="16"/>
        <v>18288.402000000002</v>
      </c>
      <c r="AV85" s="541">
        <f t="shared" si="10"/>
        <v>0.74259127392411606</v>
      </c>
      <c r="AW85" s="138"/>
      <c r="AX85" s="104"/>
      <c r="AY85" s="104"/>
    </row>
    <row r="86" spans="1:52" x14ac:dyDescent="0.25">
      <c r="A86" s="76">
        <v>82</v>
      </c>
      <c r="B86" s="76"/>
      <c r="C86" s="76" t="s">
        <v>207</v>
      </c>
      <c r="D86" s="108" t="s">
        <v>238</v>
      </c>
      <c r="E86" s="133">
        <v>9919</v>
      </c>
      <c r="F86" s="133">
        <v>10831.73</v>
      </c>
      <c r="G86" s="133">
        <v>7289.9170000000004</v>
      </c>
      <c r="H86" s="133">
        <v>1784</v>
      </c>
      <c r="I86" s="133">
        <v>1913.5830000000001</v>
      </c>
      <c r="J86" s="133">
        <v>1150.617</v>
      </c>
      <c r="K86" s="133">
        <v>4268</v>
      </c>
      <c r="L86" s="133">
        <v>4362.2039999999997</v>
      </c>
      <c r="M86" s="133">
        <v>2914.3560000000002</v>
      </c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>
        <v>127</v>
      </c>
      <c r="AD86" s="133">
        <v>227</v>
      </c>
      <c r="AE86" s="133">
        <v>99.713999999999999</v>
      </c>
      <c r="AF86" s="133"/>
      <c r="AG86" s="133"/>
      <c r="AH86" s="133"/>
      <c r="AI86" s="133"/>
      <c r="AJ86" s="133"/>
      <c r="AK86" s="133"/>
      <c r="AL86" s="133"/>
      <c r="AM86" s="133"/>
      <c r="AN86" s="133"/>
      <c r="AO86" s="133">
        <f t="shared" ref="AO86:AQ87" si="18">E86+H86+K86+N86+Q86+T86+W86+Z86+AC86+AF86+AI86+AL86</f>
        <v>16098</v>
      </c>
      <c r="AP86" s="133">
        <f t="shared" si="18"/>
        <v>17334.517</v>
      </c>
      <c r="AQ86" s="133">
        <f t="shared" si="18"/>
        <v>11454.603999999999</v>
      </c>
      <c r="AR86" s="324">
        <f t="shared" si="6"/>
        <v>0.66079741362277356</v>
      </c>
      <c r="AS86" s="139">
        <v>12763.9</v>
      </c>
      <c r="AT86" s="139">
        <v>13743.816999999999</v>
      </c>
      <c r="AU86" s="139">
        <v>9522.6859999999997</v>
      </c>
      <c r="AV86" s="541">
        <f t="shared" si="10"/>
        <v>0.69287054680661131</v>
      </c>
      <c r="AW86" s="139"/>
      <c r="AX86" s="109"/>
      <c r="AY86" s="109"/>
    </row>
    <row r="87" spans="1:52" x14ac:dyDescent="0.25">
      <c r="A87" s="76">
        <v>83</v>
      </c>
      <c r="B87" s="76"/>
      <c r="C87" s="76" t="s">
        <v>213</v>
      </c>
      <c r="D87" s="108" t="s">
        <v>239</v>
      </c>
      <c r="E87" s="133">
        <v>1531</v>
      </c>
      <c r="F87" s="133">
        <v>1531</v>
      </c>
      <c r="G87" s="133">
        <v>504.65600000000001</v>
      </c>
      <c r="H87" s="133">
        <v>527</v>
      </c>
      <c r="I87" s="133">
        <v>527</v>
      </c>
      <c r="J87" s="133">
        <v>95.691999999999993</v>
      </c>
      <c r="K87" s="133">
        <v>28099</v>
      </c>
      <c r="L87" s="133">
        <v>28099</v>
      </c>
      <c r="M87" s="133">
        <v>10020.870999999999</v>
      </c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>
        <v>63.5</v>
      </c>
      <c r="AF87" s="133"/>
      <c r="AG87" s="133"/>
      <c r="AH87" s="133"/>
      <c r="AI87" s="133"/>
      <c r="AJ87" s="133"/>
      <c r="AK87" s="133"/>
      <c r="AL87" s="133"/>
      <c r="AM87" s="133"/>
      <c r="AN87" s="133"/>
      <c r="AO87" s="133">
        <f t="shared" si="18"/>
        <v>30157</v>
      </c>
      <c r="AP87" s="133">
        <f t="shared" si="18"/>
        <v>30157</v>
      </c>
      <c r="AQ87" s="133">
        <f t="shared" si="18"/>
        <v>10684.718999999999</v>
      </c>
      <c r="AR87" s="324">
        <f t="shared" si="6"/>
        <v>0.35430311370494411</v>
      </c>
      <c r="AS87" s="139">
        <v>10884</v>
      </c>
      <c r="AT87" s="139">
        <v>10884</v>
      </c>
      <c r="AU87" s="139">
        <v>8765.7160000000003</v>
      </c>
      <c r="AV87" s="541">
        <f t="shared" si="10"/>
        <v>0.80537633223079752</v>
      </c>
      <c r="AW87" s="139"/>
      <c r="AX87" s="109"/>
      <c r="AY87" s="109"/>
    </row>
    <row r="88" spans="1:52" s="107" customFormat="1" ht="15.75" x14ac:dyDescent="0.25">
      <c r="A88" s="76">
        <v>84</v>
      </c>
      <c r="B88" s="76"/>
      <c r="C88" s="105"/>
      <c r="D88" s="99" t="s">
        <v>242</v>
      </c>
      <c r="E88" s="138">
        <f t="shared" ref="E88:AQ88" si="19">E65+E76+E79+E82+E85</f>
        <v>351579</v>
      </c>
      <c r="F88" s="138">
        <f t="shared" si="19"/>
        <v>384067.28200000001</v>
      </c>
      <c r="G88" s="503">
        <f t="shared" si="19"/>
        <v>252758.84600000002</v>
      </c>
      <c r="H88" s="138">
        <f t="shared" si="19"/>
        <v>62543.8</v>
      </c>
      <c r="I88" s="138">
        <f t="shared" si="19"/>
        <v>68859.789999999994</v>
      </c>
      <c r="J88" s="503">
        <f t="shared" si="19"/>
        <v>43310.563999999998</v>
      </c>
      <c r="K88" s="138">
        <f t="shared" si="19"/>
        <v>257135.7</v>
      </c>
      <c r="L88" s="138">
        <f t="shared" si="19"/>
        <v>262389.73800000001</v>
      </c>
      <c r="M88" s="138">
        <f t="shared" si="19"/>
        <v>133980.98099999997</v>
      </c>
      <c r="N88" s="138">
        <f t="shared" si="19"/>
        <v>5400</v>
      </c>
      <c r="O88" s="138">
        <f t="shared" si="19"/>
        <v>6107.78</v>
      </c>
      <c r="P88" s="138">
        <f t="shared" si="19"/>
        <v>2391.1819999999998</v>
      </c>
      <c r="Q88" s="138">
        <f t="shared" si="19"/>
        <v>27112.1</v>
      </c>
      <c r="R88" s="138">
        <f t="shared" si="19"/>
        <v>29982.1</v>
      </c>
      <c r="S88" s="138">
        <f t="shared" si="19"/>
        <v>17627.827999999998</v>
      </c>
      <c r="T88" s="138">
        <f t="shared" si="19"/>
        <v>7378</v>
      </c>
      <c r="U88" s="138">
        <f t="shared" si="19"/>
        <v>7378</v>
      </c>
      <c r="V88" s="138">
        <f t="shared" si="19"/>
        <v>6361.0070000000005</v>
      </c>
      <c r="W88" s="138">
        <f t="shared" si="19"/>
        <v>0</v>
      </c>
      <c r="X88" s="138">
        <f t="shared" si="19"/>
        <v>0</v>
      </c>
      <c r="Y88" s="138">
        <f t="shared" si="19"/>
        <v>0</v>
      </c>
      <c r="Z88" s="138">
        <f t="shared" si="19"/>
        <v>0</v>
      </c>
      <c r="AA88" s="138">
        <f t="shared" si="19"/>
        <v>0</v>
      </c>
      <c r="AB88" s="138">
        <f t="shared" si="19"/>
        <v>0</v>
      </c>
      <c r="AC88" s="138">
        <f t="shared" si="19"/>
        <v>622689</v>
      </c>
      <c r="AD88" s="138">
        <f t="shared" si="19"/>
        <v>613671.66599999997</v>
      </c>
      <c r="AE88" s="138">
        <f t="shared" si="19"/>
        <v>3940.0590000000002</v>
      </c>
      <c r="AF88" s="138">
        <f t="shared" si="19"/>
        <v>22643</v>
      </c>
      <c r="AG88" s="138">
        <f t="shared" si="19"/>
        <v>26870.351999999999</v>
      </c>
      <c r="AH88" s="138">
        <f t="shared" si="19"/>
        <v>24446.257000000001</v>
      </c>
      <c r="AI88" s="138">
        <f t="shared" si="19"/>
        <v>26106.298999999999</v>
      </c>
      <c r="AJ88" s="138">
        <f t="shared" si="19"/>
        <v>22190.510999999999</v>
      </c>
      <c r="AK88" s="138">
        <f t="shared" si="19"/>
        <v>0</v>
      </c>
      <c r="AL88" s="138">
        <f t="shared" si="19"/>
        <v>10927.733</v>
      </c>
      <c r="AM88" s="138">
        <f t="shared" si="19"/>
        <v>10927.733</v>
      </c>
      <c r="AN88" s="138">
        <f t="shared" si="19"/>
        <v>10927.733</v>
      </c>
      <c r="AO88" s="138">
        <f t="shared" si="19"/>
        <v>1393514.6319999998</v>
      </c>
      <c r="AP88" s="138">
        <f t="shared" si="19"/>
        <v>1432444.9519999996</v>
      </c>
      <c r="AQ88" s="138">
        <f t="shared" si="19"/>
        <v>495744.45699999994</v>
      </c>
      <c r="AR88" s="324">
        <f t="shared" si="6"/>
        <v>0.34608272821083602</v>
      </c>
      <c r="AS88" s="138">
        <f>AS65+AS76+AS79+AS82+AS85</f>
        <v>312032.7</v>
      </c>
      <c r="AT88" s="138">
        <f>AT65+AT76+AT79+AT82+AT85</f>
        <v>326986.83799999999</v>
      </c>
      <c r="AU88" s="138">
        <f>AU65+AU76+AU79+AU82+AU85</f>
        <v>223421.679</v>
      </c>
      <c r="AV88" s="541">
        <f t="shared" si="10"/>
        <v>0.6832742270806631</v>
      </c>
      <c r="AW88" s="138"/>
      <c r="AX88" s="110"/>
      <c r="AY88" s="110"/>
      <c r="AZ88" s="125"/>
    </row>
    <row r="89" spans="1:52" s="107" customFormat="1" ht="15.75" x14ac:dyDescent="0.25">
      <c r="A89" s="76">
        <v>85</v>
      </c>
      <c r="B89" s="76"/>
      <c r="C89" s="105"/>
      <c r="D89" s="99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324"/>
      <c r="AS89" s="132"/>
      <c r="AT89" s="132"/>
      <c r="AU89" s="132"/>
      <c r="AV89" s="541"/>
      <c r="AW89" s="132"/>
      <c r="AX89" s="104"/>
      <c r="AY89" s="104"/>
      <c r="AZ89" s="125"/>
    </row>
    <row r="90" spans="1:52" x14ac:dyDescent="0.25">
      <c r="A90" s="76">
        <v>86</v>
      </c>
      <c r="B90" s="76"/>
      <c r="C90" s="103"/>
      <c r="D90" s="103" t="s">
        <v>243</v>
      </c>
      <c r="E90" s="136">
        <f>E74+E77+E80+E83+E86</f>
        <v>271777</v>
      </c>
      <c r="F90" s="136">
        <f>F74+F77+F80+F83+F86</f>
        <v>280846.68199999997</v>
      </c>
      <c r="G90" s="136">
        <f>G74+G77+G80+G83+G86</f>
        <v>202643.61699999997</v>
      </c>
      <c r="H90" s="136">
        <f t="shared" ref="H90:AS90" si="20">H74+H77+H80+H83+H86</f>
        <v>45678.8</v>
      </c>
      <c r="I90" s="136">
        <f t="shared" ref="I90:J90" si="21">I74+I77+I80+I83+I86</f>
        <v>47427.591</v>
      </c>
      <c r="J90" s="136">
        <f t="shared" si="21"/>
        <v>33518.800999999999</v>
      </c>
      <c r="K90" s="136">
        <f t="shared" si="20"/>
        <v>128989.7</v>
      </c>
      <c r="L90" s="136">
        <f t="shared" ref="L90:M90" si="22">L74+L77+L80+L83+L86</f>
        <v>129981.38799999998</v>
      </c>
      <c r="M90" s="136">
        <f t="shared" si="22"/>
        <v>79438.346999999994</v>
      </c>
      <c r="N90" s="136">
        <f t="shared" si="20"/>
        <v>2000</v>
      </c>
      <c r="O90" s="136">
        <f t="shared" ref="O90:P90" si="23">O74+O77+O80+O83+O86</f>
        <v>2707.7799999999997</v>
      </c>
      <c r="P90" s="136">
        <f t="shared" si="23"/>
        <v>1228.8119999999999</v>
      </c>
      <c r="Q90" s="136">
        <f t="shared" si="20"/>
        <v>22862.1</v>
      </c>
      <c r="R90" s="136">
        <f t="shared" ref="R90:S90" si="24">R74+R77+R80+R83+R86</f>
        <v>25382.1</v>
      </c>
      <c r="S90" s="136">
        <f t="shared" si="24"/>
        <v>13982.828000000001</v>
      </c>
      <c r="T90" s="136">
        <f t="shared" si="20"/>
        <v>5903</v>
      </c>
      <c r="U90" s="136">
        <f t="shared" ref="U90:V90" si="25">U74+U77+U80+U83+U86</f>
        <v>5903</v>
      </c>
      <c r="V90" s="136">
        <f t="shared" si="25"/>
        <v>5491.9750000000004</v>
      </c>
      <c r="W90" s="136">
        <f t="shared" si="20"/>
        <v>0</v>
      </c>
      <c r="X90" s="136">
        <f t="shared" ref="X90:Y90" si="26">X74+X77+X80+X83+X86</f>
        <v>0</v>
      </c>
      <c r="Y90" s="136">
        <f t="shared" si="26"/>
        <v>0</v>
      </c>
      <c r="Z90" s="136">
        <f t="shared" si="20"/>
        <v>0</v>
      </c>
      <c r="AA90" s="136">
        <f t="shared" ref="AA90:AB90" si="27">AA74+AA77+AA80+AA83+AA86</f>
        <v>0</v>
      </c>
      <c r="AB90" s="136">
        <f t="shared" si="27"/>
        <v>0</v>
      </c>
      <c r="AC90" s="136">
        <f t="shared" si="20"/>
        <v>15767</v>
      </c>
      <c r="AD90" s="136">
        <f t="shared" ref="AD90:AE90" si="28">AD74+AD77+AD80+AD83+AD86</f>
        <v>16110</v>
      </c>
      <c r="AE90" s="136">
        <f t="shared" si="28"/>
        <v>3859.6590000000001</v>
      </c>
      <c r="AF90" s="136">
        <f t="shared" si="20"/>
        <v>22643</v>
      </c>
      <c r="AG90" s="136">
        <f t="shared" ref="AG90:AH90" si="29">AG74+AG77+AG80+AG83+AG86</f>
        <v>26870.351999999999</v>
      </c>
      <c r="AH90" s="136">
        <f t="shared" si="29"/>
        <v>24446.257000000001</v>
      </c>
      <c r="AI90" s="136">
        <f t="shared" si="20"/>
        <v>3829</v>
      </c>
      <c r="AJ90" s="136">
        <f t="shared" ref="AJ90:AK90" si="30">AJ74+AJ77+AJ80+AJ83+AJ86</f>
        <v>4343.6189999999997</v>
      </c>
      <c r="AK90" s="136">
        <f t="shared" si="30"/>
        <v>0</v>
      </c>
      <c r="AL90" s="136">
        <f t="shared" si="20"/>
        <v>10927.733</v>
      </c>
      <c r="AM90" s="136">
        <f t="shared" ref="AM90:AN90" si="31">AM74+AM77+AM80+AM83+AM86</f>
        <v>10927.733</v>
      </c>
      <c r="AN90" s="136">
        <f t="shared" si="31"/>
        <v>10927.733</v>
      </c>
      <c r="AO90" s="136">
        <f>AO74+AO77+AO80+AO83+AO86</f>
        <v>530377.33299999998</v>
      </c>
      <c r="AP90" s="136">
        <f>AP74+AP77+AP80+AP83+AP86</f>
        <v>550500.245</v>
      </c>
      <c r="AQ90" s="136">
        <f>AQ74+AQ77+AQ80+AQ83+AQ86</f>
        <v>375538.02900000004</v>
      </c>
      <c r="AR90" s="324">
        <f t="shared" si="6"/>
        <v>0.68217595252841357</v>
      </c>
      <c r="AS90" s="136">
        <f t="shared" si="20"/>
        <v>230070.69999999998</v>
      </c>
      <c r="AT90" s="136">
        <f t="shared" ref="AT90:AU90" si="32">AT74+AT77+AT80+AT83+AT86</f>
        <v>238627.03800000003</v>
      </c>
      <c r="AU90" s="136">
        <f t="shared" si="32"/>
        <v>166181.87099999998</v>
      </c>
      <c r="AV90" s="541">
        <f t="shared" si="10"/>
        <v>0.69640838855821507</v>
      </c>
      <c r="AW90" s="136"/>
      <c r="AX90" s="111"/>
      <c r="AY90" s="111"/>
      <c r="AZ90" s="111"/>
    </row>
    <row r="91" spans="1:52" x14ac:dyDescent="0.25">
      <c r="A91" s="76">
        <v>87</v>
      </c>
      <c r="B91" s="76"/>
      <c r="C91" s="103"/>
      <c r="D91" s="103" t="s">
        <v>305</v>
      </c>
      <c r="E91" s="136">
        <f>E78</f>
        <v>6000</v>
      </c>
      <c r="F91" s="136">
        <f>F78</f>
        <v>6000</v>
      </c>
      <c r="G91" s="136">
        <f>G78</f>
        <v>4500</v>
      </c>
      <c r="H91" s="136">
        <f t="shared" ref="H91:AL91" si="33">H78</f>
        <v>1170</v>
      </c>
      <c r="I91" s="136">
        <f t="shared" ref="I91:J91" si="34">I78</f>
        <v>1170</v>
      </c>
      <c r="J91" s="136">
        <f t="shared" si="34"/>
        <v>877.5</v>
      </c>
      <c r="K91" s="136">
        <f t="shared" si="33"/>
        <v>0</v>
      </c>
      <c r="L91" s="136">
        <f t="shared" ref="L91:M91" si="35">L78</f>
        <v>0</v>
      </c>
      <c r="M91" s="136">
        <f t="shared" si="35"/>
        <v>0</v>
      </c>
      <c r="N91" s="136">
        <f t="shared" si="33"/>
        <v>0</v>
      </c>
      <c r="O91" s="136">
        <f t="shared" ref="O91:P91" si="36">O78</f>
        <v>0</v>
      </c>
      <c r="P91" s="136">
        <f t="shared" si="36"/>
        <v>0</v>
      </c>
      <c r="Q91" s="136">
        <f t="shared" si="33"/>
        <v>0</v>
      </c>
      <c r="R91" s="136">
        <f t="shared" ref="R91:S91" si="37">R78</f>
        <v>0</v>
      </c>
      <c r="S91" s="136">
        <f t="shared" si="37"/>
        <v>0</v>
      </c>
      <c r="T91" s="136">
        <f t="shared" si="33"/>
        <v>0</v>
      </c>
      <c r="U91" s="136">
        <f t="shared" ref="U91:V91" si="38">U78</f>
        <v>0</v>
      </c>
      <c r="V91" s="136">
        <f t="shared" si="38"/>
        <v>0</v>
      </c>
      <c r="W91" s="136">
        <f t="shared" si="33"/>
        <v>0</v>
      </c>
      <c r="X91" s="136">
        <f t="shared" ref="X91:Y91" si="39">X78</f>
        <v>0</v>
      </c>
      <c r="Y91" s="136">
        <f t="shared" si="39"/>
        <v>0</v>
      </c>
      <c r="Z91" s="136">
        <f t="shared" si="33"/>
        <v>0</v>
      </c>
      <c r="AA91" s="136">
        <f t="shared" ref="AA91:AB91" si="40">AA78</f>
        <v>0</v>
      </c>
      <c r="AB91" s="136">
        <f t="shared" si="40"/>
        <v>0</v>
      </c>
      <c r="AC91" s="136">
        <f t="shared" si="33"/>
        <v>0</v>
      </c>
      <c r="AD91" s="136">
        <f t="shared" ref="AD91:AE91" si="41">AD78</f>
        <v>0</v>
      </c>
      <c r="AE91" s="136">
        <f t="shared" si="41"/>
        <v>0</v>
      </c>
      <c r="AF91" s="136">
        <f t="shared" si="33"/>
        <v>0</v>
      </c>
      <c r="AG91" s="136">
        <f t="shared" ref="AG91:AH91" si="42">AG78</f>
        <v>0</v>
      </c>
      <c r="AH91" s="136">
        <f t="shared" si="42"/>
        <v>0</v>
      </c>
      <c r="AI91" s="136">
        <f t="shared" si="33"/>
        <v>0</v>
      </c>
      <c r="AJ91" s="136">
        <f t="shared" ref="AJ91:AK91" si="43">AJ78</f>
        <v>0</v>
      </c>
      <c r="AK91" s="136">
        <f t="shared" si="43"/>
        <v>0</v>
      </c>
      <c r="AL91" s="136">
        <f t="shared" si="33"/>
        <v>0</v>
      </c>
      <c r="AM91" s="136">
        <f t="shared" ref="AM91:AN91" si="44">AM78</f>
        <v>0</v>
      </c>
      <c r="AN91" s="136">
        <f t="shared" si="44"/>
        <v>0</v>
      </c>
      <c r="AO91" s="136">
        <f>AO78</f>
        <v>7170</v>
      </c>
      <c r="AP91" s="136">
        <f>AP78</f>
        <v>7170</v>
      </c>
      <c r="AQ91" s="136">
        <f>AQ78</f>
        <v>5377.5</v>
      </c>
      <c r="AR91" s="324">
        <f t="shared" si="6"/>
        <v>0.75</v>
      </c>
      <c r="AS91" s="136">
        <f>AS78</f>
        <v>7170</v>
      </c>
      <c r="AT91" s="136">
        <f>AT78</f>
        <v>7170</v>
      </c>
      <c r="AU91" s="136">
        <f>AU78</f>
        <v>5377.5</v>
      </c>
      <c r="AV91" s="541">
        <f t="shared" si="10"/>
        <v>0.75</v>
      </c>
      <c r="AW91" s="140"/>
      <c r="AX91" s="111"/>
      <c r="AY91" s="111"/>
      <c r="AZ91" s="111"/>
    </row>
    <row r="92" spans="1:52" x14ac:dyDescent="0.25">
      <c r="A92" s="76">
        <v>88</v>
      </c>
      <c r="B92" s="76"/>
      <c r="C92" s="103"/>
      <c r="D92" s="103" t="s">
        <v>244</v>
      </c>
      <c r="E92" s="136">
        <f>E75+E81+E84+E87</f>
        <v>73802</v>
      </c>
      <c r="F92" s="136">
        <f>F75+F81+F84+F87</f>
        <v>97220.6</v>
      </c>
      <c r="G92" s="136">
        <f>G75+G81+G84+G87</f>
        <v>45615.228999999999</v>
      </c>
      <c r="H92" s="136">
        <f t="shared" ref="H92:AS92" si="45">H75+H81+H84+H87</f>
        <v>15695</v>
      </c>
      <c r="I92" s="136">
        <f t="shared" ref="I92:J92" si="46">I75+I81+I84+I87</f>
        <v>20262.199000000001</v>
      </c>
      <c r="J92" s="136">
        <f t="shared" si="46"/>
        <v>8914.262999999999</v>
      </c>
      <c r="K92" s="136">
        <f t="shared" si="45"/>
        <v>128146</v>
      </c>
      <c r="L92" s="136">
        <f t="shared" ref="L92:M92" si="47">L75+L81+L84+L87</f>
        <v>132408.35</v>
      </c>
      <c r="M92" s="136">
        <f t="shared" si="47"/>
        <v>54542.633999999998</v>
      </c>
      <c r="N92" s="136">
        <f t="shared" si="45"/>
        <v>3400</v>
      </c>
      <c r="O92" s="136">
        <f t="shared" ref="O92:P92" si="48">O75+O81+O84+O87</f>
        <v>3400</v>
      </c>
      <c r="P92" s="136">
        <f t="shared" si="48"/>
        <v>1162.3700000000001</v>
      </c>
      <c r="Q92" s="136">
        <f t="shared" si="45"/>
        <v>4250</v>
      </c>
      <c r="R92" s="136">
        <f t="shared" ref="R92:S92" si="49">R75+R81+R84+R87</f>
        <v>4600</v>
      </c>
      <c r="S92" s="136">
        <f t="shared" si="49"/>
        <v>3645</v>
      </c>
      <c r="T92" s="136">
        <f t="shared" si="45"/>
        <v>1475</v>
      </c>
      <c r="U92" s="136">
        <f t="shared" ref="U92:V92" si="50">U75+U81+U84+U87</f>
        <v>1475</v>
      </c>
      <c r="V92" s="136">
        <f t="shared" si="50"/>
        <v>869.03199999999993</v>
      </c>
      <c r="W92" s="136">
        <f t="shared" si="45"/>
        <v>0</v>
      </c>
      <c r="X92" s="136">
        <f t="shared" ref="X92:Y92" si="51">X75+X81+X84+X87</f>
        <v>0</v>
      </c>
      <c r="Y92" s="136">
        <f t="shared" si="51"/>
        <v>0</v>
      </c>
      <c r="Z92" s="136">
        <f t="shared" si="45"/>
        <v>0</v>
      </c>
      <c r="AA92" s="136">
        <f t="shared" ref="AA92:AB92" si="52">AA75+AA81+AA84+AA87</f>
        <v>0</v>
      </c>
      <c r="AB92" s="136">
        <f t="shared" si="52"/>
        <v>0</v>
      </c>
      <c r="AC92" s="136">
        <f t="shared" si="45"/>
        <v>606922</v>
      </c>
      <c r="AD92" s="136">
        <f t="shared" ref="AD92:AE92" si="53">AD75+AD81+AD84+AD87</f>
        <v>597561.66599999997</v>
      </c>
      <c r="AE92" s="136">
        <f t="shared" si="53"/>
        <v>80.400000000000006</v>
      </c>
      <c r="AF92" s="136">
        <f t="shared" si="45"/>
        <v>0</v>
      </c>
      <c r="AG92" s="136">
        <f t="shared" ref="AG92:AH92" si="54">AG75+AG81+AG84+AG87</f>
        <v>0</v>
      </c>
      <c r="AH92" s="136">
        <f t="shared" si="54"/>
        <v>0</v>
      </c>
      <c r="AI92" s="136">
        <f t="shared" si="45"/>
        <v>22277.298999999999</v>
      </c>
      <c r="AJ92" s="136">
        <f t="shared" ref="AJ92:AK92" si="55">AJ75+AJ81+AJ84+AJ87</f>
        <v>17846.892</v>
      </c>
      <c r="AK92" s="136">
        <f t="shared" si="55"/>
        <v>0</v>
      </c>
      <c r="AL92" s="136">
        <f t="shared" si="45"/>
        <v>0</v>
      </c>
      <c r="AM92" s="136">
        <f t="shared" ref="AM92:AN92" si="56">AM75+AM81+AM84+AM87</f>
        <v>0</v>
      </c>
      <c r="AN92" s="136">
        <f t="shared" si="56"/>
        <v>0</v>
      </c>
      <c r="AO92" s="136">
        <f>AO75+AO81+AO84+AO87</f>
        <v>855967.29900000012</v>
      </c>
      <c r="AP92" s="136">
        <f>AP75+AP81+AP84+AP87</f>
        <v>874774.70699999994</v>
      </c>
      <c r="AQ92" s="136">
        <f>AQ75+AQ81+AQ84+AQ87</f>
        <v>114828.928</v>
      </c>
      <c r="AR92" s="324">
        <f t="shared" si="6"/>
        <v>0.1312668588622099</v>
      </c>
      <c r="AS92" s="136">
        <f t="shared" si="45"/>
        <v>74792</v>
      </c>
      <c r="AT92" s="136">
        <f t="shared" ref="AT92:AU92" si="57">AT75+AT81+AT84+AT87</f>
        <v>81189.8</v>
      </c>
      <c r="AU92" s="136">
        <f t="shared" si="57"/>
        <v>51862.307999999997</v>
      </c>
      <c r="AV92" s="541">
        <f t="shared" si="10"/>
        <v>0.63877861504770295</v>
      </c>
      <c r="AW92" s="140"/>
      <c r="AX92" s="111"/>
      <c r="AY92" s="111"/>
      <c r="AZ92" s="111"/>
    </row>
    <row r="93" spans="1:52" s="107" customFormat="1" x14ac:dyDescent="0.25">
      <c r="A93" s="76">
        <v>89</v>
      </c>
      <c r="B93" s="76"/>
      <c r="C93" s="112"/>
      <c r="D93" s="112" t="s">
        <v>245</v>
      </c>
      <c r="E93" s="140">
        <f>SUM(E90:E92)</f>
        <v>351579</v>
      </c>
      <c r="F93" s="140">
        <f>SUM(F90:F92)</f>
        <v>384067.28200000001</v>
      </c>
      <c r="G93" s="509">
        <f>SUM(G90:G92)</f>
        <v>252758.84599999996</v>
      </c>
      <c r="H93" s="140">
        <f t="shared" ref="H93:AS93" si="58">SUM(H90:H92)</f>
        <v>62543.8</v>
      </c>
      <c r="I93" s="140">
        <f t="shared" ref="I93:J93" si="59">SUM(I90:I92)</f>
        <v>68859.790000000008</v>
      </c>
      <c r="J93" s="509">
        <f t="shared" si="59"/>
        <v>43310.563999999998</v>
      </c>
      <c r="K93" s="140">
        <f t="shared" si="58"/>
        <v>257135.7</v>
      </c>
      <c r="L93" s="140">
        <f t="shared" ref="L93:M93" si="60">SUM(L90:L92)</f>
        <v>262389.73800000001</v>
      </c>
      <c r="M93" s="509">
        <f t="shared" si="60"/>
        <v>133980.981</v>
      </c>
      <c r="N93" s="140">
        <f t="shared" si="58"/>
        <v>5400</v>
      </c>
      <c r="O93" s="140">
        <f t="shared" ref="O93:P93" si="61">SUM(O90:O92)</f>
        <v>6107.78</v>
      </c>
      <c r="P93" s="509">
        <f t="shared" si="61"/>
        <v>2391.1819999999998</v>
      </c>
      <c r="Q93" s="140">
        <f t="shared" si="58"/>
        <v>27112.1</v>
      </c>
      <c r="R93" s="140">
        <f t="shared" ref="R93:S93" si="62">SUM(R90:R92)</f>
        <v>29982.1</v>
      </c>
      <c r="S93" s="509">
        <f t="shared" si="62"/>
        <v>17627.828000000001</v>
      </c>
      <c r="T93" s="140">
        <f t="shared" si="58"/>
        <v>7378</v>
      </c>
      <c r="U93" s="140">
        <f t="shared" ref="U93:V93" si="63">SUM(U90:U92)</f>
        <v>7378</v>
      </c>
      <c r="V93" s="509">
        <f t="shared" si="63"/>
        <v>6361.0070000000005</v>
      </c>
      <c r="W93" s="140">
        <f t="shared" si="58"/>
        <v>0</v>
      </c>
      <c r="X93" s="140">
        <f t="shared" ref="X93:Y93" si="64">SUM(X90:X92)</f>
        <v>0</v>
      </c>
      <c r="Y93" s="140">
        <f t="shared" si="64"/>
        <v>0</v>
      </c>
      <c r="Z93" s="140">
        <f t="shared" si="58"/>
        <v>0</v>
      </c>
      <c r="AA93" s="140">
        <f t="shared" ref="AA93:AB93" si="65">SUM(AA90:AA92)</f>
        <v>0</v>
      </c>
      <c r="AB93" s="140">
        <f t="shared" si="65"/>
        <v>0</v>
      </c>
      <c r="AC93" s="140">
        <f t="shared" si="58"/>
        <v>622689</v>
      </c>
      <c r="AD93" s="140">
        <f t="shared" ref="AD93:AE93" si="66">SUM(AD90:AD92)</f>
        <v>613671.66599999997</v>
      </c>
      <c r="AE93" s="509">
        <f t="shared" si="66"/>
        <v>3940.0590000000002</v>
      </c>
      <c r="AF93" s="140">
        <f t="shared" si="58"/>
        <v>22643</v>
      </c>
      <c r="AG93" s="140">
        <f t="shared" ref="AG93:AH93" si="67">SUM(AG90:AG92)</f>
        <v>26870.351999999999</v>
      </c>
      <c r="AH93" s="509">
        <f t="shared" si="67"/>
        <v>24446.257000000001</v>
      </c>
      <c r="AI93" s="140">
        <f t="shared" si="58"/>
        <v>26106.298999999999</v>
      </c>
      <c r="AJ93" s="140">
        <f t="shared" ref="AJ93:AK93" si="68">SUM(AJ90:AJ92)</f>
        <v>22190.510999999999</v>
      </c>
      <c r="AK93" s="140">
        <f t="shared" si="68"/>
        <v>0</v>
      </c>
      <c r="AL93" s="140">
        <f t="shared" si="58"/>
        <v>10927.733</v>
      </c>
      <c r="AM93" s="140">
        <f t="shared" ref="AM93:AN93" si="69">SUM(AM90:AM92)</f>
        <v>10927.733</v>
      </c>
      <c r="AN93" s="509">
        <f t="shared" si="69"/>
        <v>10927.733</v>
      </c>
      <c r="AO93" s="140">
        <f>SUM(AO90:AO92)</f>
        <v>1393514.6320000002</v>
      </c>
      <c r="AP93" s="140">
        <f>SUM(AP90:AP92)</f>
        <v>1432444.952</v>
      </c>
      <c r="AQ93" s="509">
        <f>SUM(AQ90:AQ92)</f>
        <v>495744.45700000005</v>
      </c>
      <c r="AR93" s="324">
        <f t="shared" si="6"/>
        <v>0.34608272821083602</v>
      </c>
      <c r="AS93" s="140">
        <f t="shared" si="58"/>
        <v>312032.69999999995</v>
      </c>
      <c r="AT93" s="140">
        <f t="shared" ref="AT93:AU93" si="70">SUM(AT90:AT92)</f>
        <v>326986.83800000005</v>
      </c>
      <c r="AU93" s="509">
        <f t="shared" si="70"/>
        <v>223421.67899999997</v>
      </c>
      <c r="AV93" s="541">
        <f t="shared" si="10"/>
        <v>0.68327422708066288</v>
      </c>
      <c r="AW93" s="140"/>
      <c r="AX93" s="111"/>
      <c r="AY93" s="111"/>
      <c r="AZ93" s="125"/>
    </row>
    <row r="94" spans="1:52" x14ac:dyDescent="0.25">
      <c r="AS94" s="198">
        <f>AO65+AS93</f>
        <v>1336860.3319999999</v>
      </c>
      <c r="AT94" s="198">
        <f>AP65+AT93</f>
        <v>1373525.49</v>
      </c>
      <c r="AU94" s="329">
        <f>AQ65+AU93</f>
        <v>466768.29399999994</v>
      </c>
      <c r="AW94" s="113"/>
      <c r="AX94" s="113"/>
      <c r="AY94" s="113"/>
    </row>
    <row r="95" spans="1:52" x14ac:dyDescent="0.25">
      <c r="AW95" s="113"/>
      <c r="AX95" s="113"/>
      <c r="AY95" s="79">
        <v>13142</v>
      </c>
    </row>
    <row r="96" spans="1:52" x14ac:dyDescent="0.25">
      <c r="AW96" s="113"/>
      <c r="AX96" s="113"/>
      <c r="AY96" s="113"/>
    </row>
    <row r="99" spans="29:31" x14ac:dyDescent="0.25">
      <c r="AC99" s="107"/>
      <c r="AD99" s="107"/>
      <c r="AE99" s="107"/>
    </row>
  </sheetData>
  <autoFilter ref="A4:AZ4"/>
  <mergeCells count="16">
    <mergeCell ref="AS3:AV3"/>
    <mergeCell ref="D2:AW2"/>
    <mergeCell ref="AI1:AS1"/>
    <mergeCell ref="E3:G3"/>
    <mergeCell ref="H3:J3"/>
    <mergeCell ref="K3:M3"/>
    <mergeCell ref="N3:P3"/>
    <mergeCell ref="Q3:S3"/>
    <mergeCell ref="AI3:AK3"/>
    <mergeCell ref="AL3:AN3"/>
    <mergeCell ref="AO3:AR3"/>
    <mergeCell ref="T3:V3"/>
    <mergeCell ref="W3:Y3"/>
    <mergeCell ref="Z3:AB3"/>
    <mergeCell ref="AC3:AE3"/>
    <mergeCell ref="AF3:AH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9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2"/>
  <sheetViews>
    <sheetView view="pageBreakPreview" topLeftCell="L1" zoomScaleNormal="100" zoomScaleSheetLayoutView="100" workbookViewId="0">
      <selection activeCell="AI11" sqref="AI11"/>
    </sheetView>
  </sheetViews>
  <sheetFormatPr defaultRowHeight="15" x14ac:dyDescent="0.25"/>
  <cols>
    <col min="1" max="1" width="6.28515625" style="72" customWidth="1"/>
    <col min="2" max="2" width="10.7109375" style="267" customWidth="1"/>
    <col min="3" max="3" width="40.7109375" style="72" customWidth="1"/>
    <col min="4" max="15" width="12.28515625" style="72" customWidth="1"/>
    <col min="16" max="18" width="10.85546875" style="72" customWidth="1"/>
    <col min="19" max="21" width="13.140625" style="72" customWidth="1"/>
    <col min="22" max="24" width="11.28515625" style="72" customWidth="1"/>
    <col min="25" max="27" width="10.140625" style="72" customWidth="1"/>
    <col min="28" max="30" width="10.85546875" style="72" customWidth="1"/>
    <col min="31" max="31" width="11.28515625" style="72" bestFit="1" customWidth="1"/>
    <col min="32" max="32" width="10.140625" style="72" hidden="1" customWidth="1"/>
    <col min="33" max="33" width="10.85546875" style="72" hidden="1" customWidth="1"/>
    <col min="34" max="35" width="12.42578125" style="72" bestFit="1" customWidth="1"/>
    <col min="36" max="16384" width="9.140625" style="72"/>
  </cols>
  <sheetData>
    <row r="1" spans="1:36" x14ac:dyDescent="0.25">
      <c r="S1" s="589" t="s">
        <v>424</v>
      </c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</row>
    <row r="2" spans="1:36" ht="61.5" customHeight="1" x14ac:dyDescent="0.25">
      <c r="A2" s="71">
        <v>1</v>
      </c>
      <c r="B2" s="71"/>
      <c r="C2" s="590" t="s">
        <v>546</v>
      </c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</row>
    <row r="3" spans="1:36" ht="57.75" customHeight="1" x14ac:dyDescent="0.25">
      <c r="A3" s="71">
        <v>2</v>
      </c>
      <c r="B3" s="73" t="s">
        <v>293</v>
      </c>
      <c r="C3" s="242" t="s">
        <v>199</v>
      </c>
      <c r="D3" s="591" t="s">
        <v>91</v>
      </c>
      <c r="E3" s="592"/>
      <c r="F3" s="593"/>
      <c r="G3" s="591" t="s">
        <v>270</v>
      </c>
      <c r="H3" s="592"/>
      <c r="I3" s="593"/>
      <c r="J3" s="591" t="s">
        <v>93</v>
      </c>
      <c r="K3" s="592"/>
      <c r="L3" s="593"/>
      <c r="M3" s="591" t="s">
        <v>271</v>
      </c>
      <c r="N3" s="592"/>
      <c r="O3" s="593"/>
      <c r="P3" s="591" t="s">
        <v>95</v>
      </c>
      <c r="Q3" s="592"/>
      <c r="R3" s="593"/>
      <c r="S3" s="591" t="s">
        <v>109</v>
      </c>
      <c r="T3" s="592"/>
      <c r="U3" s="593"/>
      <c r="V3" s="591" t="s">
        <v>112</v>
      </c>
      <c r="W3" s="592"/>
      <c r="X3" s="593"/>
      <c r="Y3" s="591" t="s">
        <v>274</v>
      </c>
      <c r="Z3" s="592"/>
      <c r="AA3" s="593"/>
      <c r="AB3" s="591" t="s">
        <v>275</v>
      </c>
      <c r="AC3" s="592"/>
      <c r="AD3" s="593"/>
      <c r="AE3" s="591" t="s">
        <v>242</v>
      </c>
      <c r="AF3" s="592"/>
      <c r="AG3" s="592"/>
      <c r="AH3" s="592"/>
      <c r="AI3" s="592"/>
      <c r="AJ3" s="593"/>
    </row>
    <row r="4" spans="1:36" ht="30" x14ac:dyDescent="0.25">
      <c r="A4" s="71">
        <v>3</v>
      </c>
      <c r="B4" s="268"/>
      <c r="C4" s="212" t="s">
        <v>250</v>
      </c>
      <c r="D4" s="75" t="s">
        <v>410</v>
      </c>
      <c r="E4" s="102" t="s">
        <v>406</v>
      </c>
      <c r="F4" s="102" t="s">
        <v>416</v>
      </c>
      <c r="G4" s="75" t="s">
        <v>410</v>
      </c>
      <c r="H4" s="102" t="s">
        <v>406</v>
      </c>
      <c r="I4" s="102" t="s">
        <v>416</v>
      </c>
      <c r="J4" s="75" t="s">
        <v>410</v>
      </c>
      <c r="K4" s="102" t="s">
        <v>406</v>
      </c>
      <c r="L4" s="102" t="s">
        <v>416</v>
      </c>
      <c r="M4" s="75" t="s">
        <v>410</v>
      </c>
      <c r="N4" s="102" t="s">
        <v>406</v>
      </c>
      <c r="O4" s="102" t="s">
        <v>416</v>
      </c>
      <c r="P4" s="75" t="s">
        <v>410</v>
      </c>
      <c r="Q4" s="102" t="s">
        <v>406</v>
      </c>
      <c r="R4" s="102" t="s">
        <v>416</v>
      </c>
      <c r="S4" s="75" t="s">
        <v>410</v>
      </c>
      <c r="T4" s="102" t="s">
        <v>406</v>
      </c>
      <c r="U4" s="102" t="s">
        <v>416</v>
      </c>
      <c r="V4" s="75" t="s">
        <v>410</v>
      </c>
      <c r="W4" s="102" t="s">
        <v>406</v>
      </c>
      <c r="X4" s="102" t="s">
        <v>416</v>
      </c>
      <c r="Y4" s="75" t="s">
        <v>410</v>
      </c>
      <c r="Z4" s="102" t="s">
        <v>406</v>
      </c>
      <c r="AA4" s="102" t="s">
        <v>416</v>
      </c>
      <c r="AB4" s="75" t="s">
        <v>410</v>
      </c>
      <c r="AC4" s="102" t="s">
        <v>406</v>
      </c>
      <c r="AD4" s="102" t="s">
        <v>416</v>
      </c>
      <c r="AE4" s="75" t="s">
        <v>410</v>
      </c>
      <c r="AF4" s="102" t="s">
        <v>406</v>
      </c>
      <c r="AG4" s="75" t="s">
        <v>410</v>
      </c>
      <c r="AH4" s="102" t="s">
        <v>406</v>
      </c>
      <c r="AI4" s="102" t="s">
        <v>416</v>
      </c>
      <c r="AJ4" s="102" t="s">
        <v>417</v>
      </c>
    </row>
    <row r="5" spans="1:36" x14ac:dyDescent="0.25">
      <c r="A5" s="71">
        <v>4</v>
      </c>
      <c r="B5" s="71" t="s">
        <v>311</v>
      </c>
      <c r="C5" s="85" t="s">
        <v>305</v>
      </c>
      <c r="D5" s="141">
        <v>6000</v>
      </c>
      <c r="E5" s="141">
        <v>6000</v>
      </c>
      <c r="F5" s="141">
        <v>4500</v>
      </c>
      <c r="G5" s="141">
        <v>1170</v>
      </c>
      <c r="H5" s="141">
        <v>1170</v>
      </c>
      <c r="I5" s="141">
        <v>877.5</v>
      </c>
      <c r="J5" s="141"/>
      <c r="K5" s="141"/>
      <c r="L5" s="141"/>
      <c r="M5" s="269"/>
      <c r="N5" s="269"/>
      <c r="O5" s="269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69"/>
      <c r="AC5" s="269"/>
      <c r="AD5" s="269"/>
      <c r="AE5" s="143">
        <f>D5+G5+J5+M5+P5+S5+V5+Y5+AB5</f>
        <v>7170</v>
      </c>
      <c r="AF5" s="143">
        <f>E5+H5+K5+N5+Q5+T5+W5+Z5+AC5</f>
        <v>7170</v>
      </c>
      <c r="AG5" s="143">
        <f t="shared" ref="AG5:AG7" si="0">G5+J5+M5+P5+S5+V5+Y5+AB5+AE5</f>
        <v>8340</v>
      </c>
      <c r="AH5" s="143">
        <f t="shared" ref="AH5:AI7" si="1">E5+H5+K5+N5+Q5+T5+W5+Z5+AC5</f>
        <v>7170</v>
      </c>
      <c r="AI5" s="143">
        <f t="shared" si="1"/>
        <v>5377.5</v>
      </c>
      <c r="AJ5" s="273">
        <f>AI5/AH5</f>
        <v>0.75</v>
      </c>
    </row>
    <row r="6" spans="1:36" x14ac:dyDescent="0.25">
      <c r="A6" s="71"/>
      <c r="B6" s="71" t="s">
        <v>207</v>
      </c>
      <c r="C6" s="85" t="s">
        <v>448</v>
      </c>
      <c r="D6" s="141"/>
      <c r="E6" s="141">
        <v>870</v>
      </c>
      <c r="F6" s="141">
        <v>913.47199999999998</v>
      </c>
      <c r="G6" s="141"/>
      <c r="H6" s="141">
        <v>166.57499999999999</v>
      </c>
      <c r="I6" s="141">
        <v>189.28899999999999</v>
      </c>
      <c r="J6" s="141"/>
      <c r="K6" s="141">
        <v>103.425</v>
      </c>
      <c r="L6" s="141">
        <v>110.675</v>
      </c>
      <c r="M6" s="269"/>
      <c r="N6" s="269"/>
      <c r="O6" s="269"/>
      <c r="P6" s="270"/>
      <c r="Q6" s="270"/>
      <c r="R6" s="270"/>
      <c r="S6" s="270"/>
      <c r="T6" s="270">
        <v>20</v>
      </c>
      <c r="U6" s="270">
        <v>22.099</v>
      </c>
      <c r="V6" s="270"/>
      <c r="W6" s="270"/>
      <c r="X6" s="270"/>
      <c r="Y6" s="270"/>
      <c r="Z6" s="270"/>
      <c r="AA6" s="270"/>
      <c r="AB6" s="269"/>
      <c r="AC6" s="269"/>
      <c r="AD6" s="269"/>
      <c r="AE6" s="143"/>
      <c r="AF6" s="143"/>
      <c r="AG6" s="143"/>
      <c r="AH6" s="143">
        <f t="shared" si="1"/>
        <v>1160</v>
      </c>
      <c r="AI6" s="143">
        <f t="shared" si="1"/>
        <v>1235.5349999999999</v>
      </c>
      <c r="AJ6" s="273">
        <f>AI6/AH6</f>
        <v>1.0651163793103446</v>
      </c>
    </row>
    <row r="7" spans="1:36" x14ac:dyDescent="0.25">
      <c r="A7" s="71">
        <v>5</v>
      </c>
      <c r="B7" s="71" t="s">
        <v>207</v>
      </c>
      <c r="C7" s="85" t="s">
        <v>252</v>
      </c>
      <c r="D7" s="141">
        <v>52457</v>
      </c>
      <c r="E7" s="141">
        <v>52967.4</v>
      </c>
      <c r="F7" s="141">
        <f>42538.382-4500</f>
        <v>38038.381999999998</v>
      </c>
      <c r="G7" s="141">
        <v>10460</v>
      </c>
      <c r="H7" s="141">
        <v>10559.501</v>
      </c>
      <c r="I7" s="141">
        <f>7785.746-877.5</f>
        <v>6908.2460000000001</v>
      </c>
      <c r="J7" s="141">
        <v>10495</v>
      </c>
      <c r="K7" s="141">
        <v>10488.398999999999</v>
      </c>
      <c r="L7" s="141">
        <v>7025.3620000000001</v>
      </c>
      <c r="M7" s="269"/>
      <c r="N7" s="269"/>
      <c r="O7" s="269"/>
      <c r="P7" s="270"/>
      <c r="Q7" s="270"/>
      <c r="R7" s="270"/>
      <c r="S7" s="270">
        <v>127</v>
      </c>
      <c r="T7" s="270">
        <v>127</v>
      </c>
      <c r="U7" s="270">
        <v>117.96</v>
      </c>
      <c r="V7" s="270"/>
      <c r="W7" s="270"/>
      <c r="X7" s="270"/>
      <c r="Y7" s="270"/>
      <c r="Z7" s="270"/>
      <c r="AA7" s="270"/>
      <c r="AB7" s="269"/>
      <c r="AC7" s="269"/>
      <c r="AD7" s="269"/>
      <c r="AE7" s="143">
        <f>D7+G7+J7+M7+P7+S7+V7+Y7+AB7</f>
        <v>73539</v>
      </c>
      <c r="AF7" s="143">
        <f>E7+H7+K7+N7+Q7+T7+W7+Z7+AC7</f>
        <v>74142.3</v>
      </c>
      <c r="AG7" s="143">
        <f t="shared" si="0"/>
        <v>94621</v>
      </c>
      <c r="AH7" s="143">
        <f t="shared" si="1"/>
        <v>74142.3</v>
      </c>
      <c r="AI7" s="143">
        <f t="shared" si="1"/>
        <v>52089.95</v>
      </c>
      <c r="AJ7" s="273">
        <f t="shared" ref="AJ7:AJ11" si="2">AI7/AH7</f>
        <v>0.70256722545699279</v>
      </c>
    </row>
    <row r="8" spans="1:36" ht="15.75" x14ac:dyDescent="0.25">
      <c r="A8" s="71">
        <v>6</v>
      </c>
      <c r="B8" s="71"/>
      <c r="C8" s="74" t="s">
        <v>253</v>
      </c>
      <c r="D8" s="143">
        <f t="shared" ref="D8:AE8" si="3">SUM(D5:D7)</f>
        <v>58457</v>
      </c>
      <c r="E8" s="143">
        <f t="shared" si="3"/>
        <v>59837.4</v>
      </c>
      <c r="F8" s="508">
        <f t="shared" si="3"/>
        <v>43451.853999999999</v>
      </c>
      <c r="G8" s="143">
        <f t="shared" si="3"/>
        <v>11630</v>
      </c>
      <c r="H8" s="143">
        <f t="shared" ref="H8:I8" si="4">SUM(H5:H7)</f>
        <v>11896.076000000001</v>
      </c>
      <c r="I8" s="508">
        <f t="shared" si="4"/>
        <v>7975.0349999999999</v>
      </c>
      <c r="J8" s="143">
        <f t="shared" si="3"/>
        <v>10495</v>
      </c>
      <c r="K8" s="143">
        <f t="shared" ref="K8:L8" si="5">SUM(K5:K7)</f>
        <v>10591.823999999999</v>
      </c>
      <c r="L8" s="508">
        <f t="shared" si="5"/>
        <v>7136.0370000000003</v>
      </c>
      <c r="M8" s="143">
        <f t="shared" si="3"/>
        <v>0</v>
      </c>
      <c r="N8" s="143">
        <f t="shared" ref="N8:O8" si="6">SUM(N5:N7)</f>
        <v>0</v>
      </c>
      <c r="O8" s="143">
        <f t="shared" si="6"/>
        <v>0</v>
      </c>
      <c r="P8" s="143">
        <f t="shared" si="3"/>
        <v>0</v>
      </c>
      <c r="Q8" s="143">
        <f t="shared" ref="Q8:R8" si="7">SUM(Q5:Q7)</f>
        <v>0</v>
      </c>
      <c r="R8" s="143">
        <f t="shared" si="7"/>
        <v>0</v>
      </c>
      <c r="S8" s="143">
        <f t="shared" si="3"/>
        <v>127</v>
      </c>
      <c r="T8" s="143">
        <f t="shared" ref="T8:U8" si="8">SUM(T5:T7)</f>
        <v>147</v>
      </c>
      <c r="U8" s="508">
        <f t="shared" si="8"/>
        <v>140.059</v>
      </c>
      <c r="V8" s="143">
        <f t="shared" si="3"/>
        <v>0</v>
      </c>
      <c r="W8" s="143">
        <f t="shared" ref="W8:X8" si="9">SUM(W5:W7)</f>
        <v>0</v>
      </c>
      <c r="X8" s="143">
        <f t="shared" si="9"/>
        <v>0</v>
      </c>
      <c r="Y8" s="143">
        <f t="shared" si="3"/>
        <v>0</v>
      </c>
      <c r="Z8" s="143">
        <f t="shared" ref="Z8:AA8" si="10">SUM(Z5:Z7)</f>
        <v>0</v>
      </c>
      <c r="AA8" s="143">
        <f t="shared" si="10"/>
        <v>0</v>
      </c>
      <c r="AB8" s="143">
        <f t="shared" si="3"/>
        <v>0</v>
      </c>
      <c r="AC8" s="143">
        <f t="shared" ref="AC8:AD8" si="11">SUM(AC5:AC7)</f>
        <v>0</v>
      </c>
      <c r="AD8" s="143">
        <f t="shared" si="11"/>
        <v>0</v>
      </c>
      <c r="AE8" s="143">
        <f t="shared" si="3"/>
        <v>80709</v>
      </c>
      <c r="AF8" s="143">
        <f t="shared" ref="AF8:AH8" si="12">SUM(AF5:AF7)</f>
        <v>81312.3</v>
      </c>
      <c r="AG8" s="143">
        <f t="shared" si="12"/>
        <v>102961</v>
      </c>
      <c r="AH8" s="143">
        <f t="shared" si="12"/>
        <v>82472.3</v>
      </c>
      <c r="AI8" s="508">
        <f t="shared" ref="AI8" si="13">SUM(AI5:AI7)</f>
        <v>58702.985000000001</v>
      </c>
      <c r="AJ8" s="273">
        <f t="shared" si="2"/>
        <v>0.71179032232640538</v>
      </c>
    </row>
    <row r="9" spans="1:36" x14ac:dyDescent="0.25">
      <c r="A9" s="71">
        <v>7</v>
      </c>
      <c r="B9" s="71"/>
      <c r="C9" s="80" t="s">
        <v>238</v>
      </c>
      <c r="D9" s="144">
        <f t="shared" ref="D9:AE9" si="14">SUMIF($B5:$B7,"kötelező",D5:D7)</f>
        <v>52457</v>
      </c>
      <c r="E9" s="144">
        <f t="shared" si="14"/>
        <v>53837.4</v>
      </c>
      <c r="F9" s="144">
        <f t="shared" si="14"/>
        <v>38951.853999999999</v>
      </c>
      <c r="G9" s="144">
        <f t="shared" si="14"/>
        <v>10460</v>
      </c>
      <c r="H9" s="144">
        <f t="shared" ref="H9:I9" si="15">SUMIF($B5:$B7,"kötelező",H5:H7)</f>
        <v>10726.076000000001</v>
      </c>
      <c r="I9" s="144">
        <f t="shared" si="15"/>
        <v>7097.5349999999999</v>
      </c>
      <c r="J9" s="144">
        <f t="shared" si="14"/>
        <v>10495</v>
      </c>
      <c r="K9" s="144">
        <f t="shared" ref="K9:L9" si="16">SUMIF($B5:$B7,"kötelező",K5:K7)</f>
        <v>10591.823999999999</v>
      </c>
      <c r="L9" s="144">
        <f t="shared" si="16"/>
        <v>7136.0370000000003</v>
      </c>
      <c r="M9" s="144">
        <f t="shared" si="14"/>
        <v>0</v>
      </c>
      <c r="N9" s="144">
        <f t="shared" ref="N9:O9" si="17">SUMIF($B5:$B7,"kötelező",N5:N7)</f>
        <v>0</v>
      </c>
      <c r="O9" s="144">
        <f t="shared" si="17"/>
        <v>0</v>
      </c>
      <c r="P9" s="144">
        <f t="shared" si="14"/>
        <v>0</v>
      </c>
      <c r="Q9" s="144">
        <f t="shared" ref="Q9:R9" si="18">SUMIF($B5:$B7,"kötelező",Q5:Q7)</f>
        <v>0</v>
      </c>
      <c r="R9" s="144">
        <f t="shared" si="18"/>
        <v>0</v>
      </c>
      <c r="S9" s="144">
        <f t="shared" si="14"/>
        <v>127</v>
      </c>
      <c r="T9" s="144">
        <f t="shared" ref="T9:U9" si="19">SUMIF($B5:$B7,"kötelező",T5:T7)</f>
        <v>147</v>
      </c>
      <c r="U9" s="144">
        <f t="shared" si="19"/>
        <v>140.059</v>
      </c>
      <c r="V9" s="144">
        <f t="shared" si="14"/>
        <v>0</v>
      </c>
      <c r="W9" s="144">
        <f t="shared" ref="W9:X9" si="20">SUMIF($B5:$B7,"kötelező",W5:W7)</f>
        <v>0</v>
      </c>
      <c r="X9" s="144">
        <f t="shared" si="20"/>
        <v>0</v>
      </c>
      <c r="Y9" s="144">
        <f t="shared" si="14"/>
        <v>0</v>
      </c>
      <c r="Z9" s="144">
        <f t="shared" ref="Z9:AA9" si="21">SUMIF($B5:$B7,"kötelező",Z5:Z7)</f>
        <v>0</v>
      </c>
      <c r="AA9" s="144">
        <f t="shared" si="21"/>
        <v>0</v>
      </c>
      <c r="AB9" s="144">
        <f t="shared" si="14"/>
        <v>0</v>
      </c>
      <c r="AC9" s="144">
        <f t="shared" ref="AC9:AD9" si="22">SUMIF($B5:$B7,"kötelező",AC5:AC7)</f>
        <v>0</v>
      </c>
      <c r="AD9" s="144">
        <f t="shared" si="22"/>
        <v>0</v>
      </c>
      <c r="AE9" s="144">
        <f t="shared" si="14"/>
        <v>73539</v>
      </c>
      <c r="AF9" s="144">
        <f t="shared" ref="AF9:AH9" si="23">SUMIF($B5:$B7,"kötelező",AF5:AF7)</f>
        <v>74142.3</v>
      </c>
      <c r="AG9" s="144">
        <f t="shared" si="23"/>
        <v>94621</v>
      </c>
      <c r="AH9" s="144">
        <f t="shared" si="23"/>
        <v>75302.3</v>
      </c>
      <c r="AI9" s="144">
        <f t="shared" ref="AI9" si="24">SUMIF($B5:$B7,"kötelező",AI5:AI7)</f>
        <v>53325.485000000001</v>
      </c>
      <c r="AJ9" s="272">
        <f t="shared" si="2"/>
        <v>0.70815214143525496</v>
      </c>
    </row>
    <row r="10" spans="1:36" x14ac:dyDescent="0.25">
      <c r="A10" s="71">
        <v>8</v>
      </c>
      <c r="B10" s="71"/>
      <c r="C10" s="80" t="s">
        <v>305</v>
      </c>
      <c r="D10" s="144">
        <f>SUMIF($B5:$B7,"államigazg",D5:D7)</f>
        <v>6000</v>
      </c>
      <c r="E10" s="144">
        <f>SUMIF($B5:$B7,"államigazg",E5:E7)</f>
        <v>6000</v>
      </c>
      <c r="F10" s="144">
        <f>SUMIF($B5:$B7,"államigazg",F5:F7)</f>
        <v>4500</v>
      </c>
      <c r="G10" s="144">
        <f t="shared" ref="G10:AE10" si="25">SUMIF($B5:$B7,"államigazg",G5:G7)</f>
        <v>1170</v>
      </c>
      <c r="H10" s="144">
        <f t="shared" ref="H10:I10" si="26">SUMIF($B5:$B7,"államigazg",H5:H7)</f>
        <v>1170</v>
      </c>
      <c r="I10" s="144">
        <f t="shared" si="26"/>
        <v>877.5</v>
      </c>
      <c r="J10" s="144">
        <f t="shared" si="25"/>
        <v>0</v>
      </c>
      <c r="K10" s="144">
        <f t="shared" ref="K10:L10" si="27">SUMIF($B5:$B7,"államigazg",K5:K7)</f>
        <v>0</v>
      </c>
      <c r="L10" s="144">
        <f t="shared" si="27"/>
        <v>0</v>
      </c>
      <c r="M10" s="144">
        <f t="shared" si="25"/>
        <v>0</v>
      </c>
      <c r="N10" s="144">
        <f t="shared" ref="N10:O10" si="28">SUMIF($B5:$B7,"államigazg",N5:N7)</f>
        <v>0</v>
      </c>
      <c r="O10" s="144">
        <f t="shared" si="28"/>
        <v>0</v>
      </c>
      <c r="P10" s="144">
        <f t="shared" si="25"/>
        <v>0</v>
      </c>
      <c r="Q10" s="144">
        <f t="shared" ref="Q10:R10" si="29">SUMIF($B5:$B7,"államigazg",Q5:Q7)</f>
        <v>0</v>
      </c>
      <c r="R10" s="144">
        <f t="shared" si="29"/>
        <v>0</v>
      </c>
      <c r="S10" s="144">
        <f t="shared" si="25"/>
        <v>0</v>
      </c>
      <c r="T10" s="144">
        <f t="shared" ref="T10:U10" si="30">SUMIF($B5:$B7,"államigazg",T5:T7)</f>
        <v>0</v>
      </c>
      <c r="U10" s="144">
        <f t="shared" si="30"/>
        <v>0</v>
      </c>
      <c r="V10" s="144">
        <f t="shared" si="25"/>
        <v>0</v>
      </c>
      <c r="W10" s="144">
        <f t="shared" ref="W10:X10" si="31">SUMIF($B5:$B7,"államigazg",W5:W7)</f>
        <v>0</v>
      </c>
      <c r="X10" s="144">
        <f t="shared" si="31"/>
        <v>0</v>
      </c>
      <c r="Y10" s="144">
        <f t="shared" si="25"/>
        <v>0</v>
      </c>
      <c r="Z10" s="144">
        <f t="shared" ref="Z10:AA10" si="32">SUMIF($B5:$B7,"államigazg",Z5:Z7)</f>
        <v>0</v>
      </c>
      <c r="AA10" s="144">
        <f t="shared" si="32"/>
        <v>0</v>
      </c>
      <c r="AB10" s="144">
        <f t="shared" si="25"/>
        <v>0</v>
      </c>
      <c r="AC10" s="144">
        <f t="shared" ref="AC10:AD10" si="33">SUMIF($B5:$B7,"államigazg",AC5:AC7)</f>
        <v>0</v>
      </c>
      <c r="AD10" s="144">
        <f t="shared" si="33"/>
        <v>0</v>
      </c>
      <c r="AE10" s="144">
        <f t="shared" si="25"/>
        <v>7170</v>
      </c>
      <c r="AF10" s="144">
        <f t="shared" ref="AF10:AH10" si="34">SUMIF($B5:$B7,"államigazg",AF5:AF7)</f>
        <v>7170</v>
      </c>
      <c r="AG10" s="144">
        <f t="shared" si="34"/>
        <v>8340</v>
      </c>
      <c r="AH10" s="144">
        <f t="shared" si="34"/>
        <v>7170</v>
      </c>
      <c r="AI10" s="144">
        <f t="shared" ref="AI10" si="35">SUMIF($B5:$B7,"államigazg",AI5:AI7)</f>
        <v>5377.5</v>
      </c>
      <c r="AJ10" s="272">
        <f t="shared" si="2"/>
        <v>0.75</v>
      </c>
    </row>
    <row r="11" spans="1:36" x14ac:dyDescent="0.25">
      <c r="A11" s="71">
        <v>9</v>
      </c>
      <c r="B11" s="71"/>
      <c r="C11" s="80" t="s">
        <v>295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271">
        <v>17</v>
      </c>
      <c r="AF11" s="271">
        <v>17</v>
      </c>
      <c r="AG11" s="271">
        <v>17</v>
      </c>
      <c r="AH11" s="271">
        <v>17</v>
      </c>
      <c r="AI11" s="317">
        <v>16.829999999999998</v>
      </c>
      <c r="AJ11" s="273">
        <f t="shared" si="2"/>
        <v>0.98999999999999988</v>
      </c>
    </row>
    <row r="12" spans="1:36" x14ac:dyDescent="0.25">
      <c r="A12" s="71">
        <v>10</v>
      </c>
      <c r="B12" s="71"/>
      <c r="C12" s="80" t="s">
        <v>296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/>
    </row>
  </sheetData>
  <mergeCells count="12">
    <mergeCell ref="S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21"/>
  <sheetViews>
    <sheetView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7" sqref="H17"/>
    </sheetView>
  </sheetViews>
  <sheetFormatPr defaultRowHeight="15" x14ac:dyDescent="0.25"/>
  <cols>
    <col min="1" max="1" width="5.5703125" style="72" customWidth="1"/>
    <col min="2" max="2" width="14" style="89" customWidth="1"/>
    <col min="3" max="3" width="29.28515625" style="72" customWidth="1"/>
    <col min="4" max="18" width="12.28515625" style="72" customWidth="1"/>
    <col min="19" max="21" width="14.28515625" style="72" customWidth="1"/>
    <col min="22" max="31" width="12.28515625" style="72" customWidth="1"/>
    <col min="32" max="32" width="11.85546875" style="83" hidden="1" customWidth="1"/>
    <col min="33" max="33" width="12" style="72" hidden="1" customWidth="1"/>
    <col min="34" max="34" width="12.42578125" style="195" bestFit="1" customWidth="1"/>
    <col min="35" max="35" width="12.42578125" style="72" bestFit="1" customWidth="1"/>
    <col min="36" max="16384" width="9.140625" style="72"/>
  </cols>
  <sheetData>
    <row r="1" spans="1:36" x14ac:dyDescent="0.25">
      <c r="V1" s="589" t="s">
        <v>425</v>
      </c>
      <c r="W1" s="589"/>
      <c r="X1" s="589"/>
      <c r="Y1" s="589"/>
      <c r="Z1" s="589"/>
      <c r="AA1" s="589"/>
      <c r="AB1" s="589"/>
      <c r="AC1" s="589"/>
      <c r="AD1" s="589"/>
      <c r="AE1" s="589"/>
    </row>
    <row r="2" spans="1:36" ht="54" customHeight="1" x14ac:dyDescent="0.25">
      <c r="A2" s="71">
        <v>1</v>
      </c>
      <c r="B2" s="84"/>
      <c r="C2" s="594" t="s">
        <v>547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6"/>
    </row>
    <row r="3" spans="1:36" ht="30" customHeight="1" x14ac:dyDescent="0.25">
      <c r="A3" s="71">
        <v>2</v>
      </c>
      <c r="B3" s="73" t="s">
        <v>255</v>
      </c>
      <c r="C3" s="74" t="s">
        <v>199</v>
      </c>
      <c r="D3" s="591" t="s">
        <v>91</v>
      </c>
      <c r="E3" s="592"/>
      <c r="F3" s="593"/>
      <c r="G3" s="591" t="s">
        <v>270</v>
      </c>
      <c r="H3" s="592"/>
      <c r="I3" s="593"/>
      <c r="J3" s="591" t="s">
        <v>93</v>
      </c>
      <c r="K3" s="592"/>
      <c r="L3" s="593"/>
      <c r="M3" s="591" t="s">
        <v>271</v>
      </c>
      <c r="N3" s="592"/>
      <c r="O3" s="593"/>
      <c r="P3" s="591" t="s">
        <v>310</v>
      </c>
      <c r="Q3" s="592"/>
      <c r="R3" s="593"/>
      <c r="S3" s="591" t="s">
        <v>109</v>
      </c>
      <c r="T3" s="592"/>
      <c r="U3" s="593"/>
      <c r="V3" s="591" t="s">
        <v>112</v>
      </c>
      <c r="W3" s="592"/>
      <c r="X3" s="593"/>
      <c r="Y3" s="591" t="s">
        <v>274</v>
      </c>
      <c r="Z3" s="592"/>
      <c r="AA3" s="593"/>
      <c r="AB3" s="591" t="s">
        <v>294</v>
      </c>
      <c r="AC3" s="592"/>
      <c r="AD3" s="593"/>
      <c r="AE3" s="597" t="s">
        <v>242</v>
      </c>
      <c r="AF3" s="598"/>
      <c r="AG3" s="598"/>
      <c r="AH3" s="598"/>
      <c r="AI3" s="598"/>
      <c r="AJ3" s="599"/>
    </row>
    <row r="4" spans="1:36" ht="30" x14ac:dyDescent="0.25">
      <c r="A4" s="71">
        <v>3</v>
      </c>
      <c r="B4" s="84"/>
      <c r="C4" s="74" t="s">
        <v>250</v>
      </c>
      <c r="D4" s="280" t="s">
        <v>410</v>
      </c>
      <c r="E4" s="100" t="s">
        <v>406</v>
      </c>
      <c r="F4" s="102" t="s">
        <v>416</v>
      </c>
      <c r="G4" s="280" t="s">
        <v>410</v>
      </c>
      <c r="H4" s="100" t="s">
        <v>406</v>
      </c>
      <c r="I4" s="102" t="s">
        <v>416</v>
      </c>
      <c r="J4" s="280" t="s">
        <v>410</v>
      </c>
      <c r="K4" s="100" t="s">
        <v>406</v>
      </c>
      <c r="L4" s="102" t="s">
        <v>416</v>
      </c>
      <c r="M4" s="280" t="s">
        <v>410</v>
      </c>
      <c r="N4" s="100" t="s">
        <v>406</v>
      </c>
      <c r="O4" s="102" t="s">
        <v>416</v>
      </c>
      <c r="P4" s="280" t="s">
        <v>410</v>
      </c>
      <c r="Q4" s="100" t="s">
        <v>406</v>
      </c>
      <c r="R4" s="102" t="s">
        <v>416</v>
      </c>
      <c r="S4" s="280" t="s">
        <v>410</v>
      </c>
      <c r="T4" s="100" t="s">
        <v>406</v>
      </c>
      <c r="U4" s="102" t="s">
        <v>416</v>
      </c>
      <c r="V4" s="280" t="s">
        <v>410</v>
      </c>
      <c r="W4" s="100" t="s">
        <v>406</v>
      </c>
      <c r="X4" s="102" t="s">
        <v>416</v>
      </c>
      <c r="Y4" s="280" t="s">
        <v>410</v>
      </c>
      <c r="Z4" s="100" t="s">
        <v>406</v>
      </c>
      <c r="AA4" s="102" t="s">
        <v>416</v>
      </c>
      <c r="AB4" s="280" t="s">
        <v>410</v>
      </c>
      <c r="AC4" s="100" t="s">
        <v>406</v>
      </c>
      <c r="AD4" s="102" t="s">
        <v>416</v>
      </c>
      <c r="AE4" s="280" t="s">
        <v>410</v>
      </c>
      <c r="AF4" s="100" t="s">
        <v>406</v>
      </c>
      <c r="AG4" s="280" t="s">
        <v>410</v>
      </c>
      <c r="AH4" s="100" t="s">
        <v>406</v>
      </c>
      <c r="AI4" s="102" t="s">
        <v>416</v>
      </c>
      <c r="AJ4" s="102" t="s">
        <v>417</v>
      </c>
    </row>
    <row r="5" spans="1:36" x14ac:dyDescent="0.25">
      <c r="A5" s="71">
        <v>4</v>
      </c>
      <c r="B5" s="84" t="s">
        <v>207</v>
      </c>
      <c r="C5" s="85" t="s">
        <v>256</v>
      </c>
      <c r="D5" s="141">
        <v>120</v>
      </c>
      <c r="E5" s="141">
        <v>120</v>
      </c>
      <c r="F5" s="141">
        <v>90</v>
      </c>
      <c r="G5" s="141">
        <v>29</v>
      </c>
      <c r="H5" s="141">
        <v>29</v>
      </c>
      <c r="I5" s="141">
        <v>21.177</v>
      </c>
      <c r="J5" s="141">
        <v>583</v>
      </c>
      <c r="K5" s="141">
        <v>583</v>
      </c>
      <c r="L5" s="141">
        <v>224.09700000000001</v>
      </c>
      <c r="M5" s="141"/>
      <c r="N5" s="141"/>
      <c r="O5" s="141"/>
      <c r="P5" s="141">
        <v>120</v>
      </c>
      <c r="Q5" s="141">
        <v>120</v>
      </c>
      <c r="R5" s="141">
        <v>90</v>
      </c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3">
        <f>AB5+Y5+V5+S5+P5+M5+J5+G5+D5</f>
        <v>852</v>
      </c>
      <c r="AF5" s="87">
        <v>11317</v>
      </c>
      <c r="AG5" s="194">
        <v>10318</v>
      </c>
      <c r="AH5" s="196">
        <f>E5+H5+K5+N5+Q5+T5+W5+Z5+AC5</f>
        <v>852</v>
      </c>
      <c r="AI5" s="196">
        <f>F5+I5+L5+O5+R5+U5+X5+AA5+AD5</f>
        <v>425.274</v>
      </c>
      <c r="AJ5" s="273">
        <f>AI5/AH5</f>
        <v>0.49914788732394366</v>
      </c>
    </row>
    <row r="6" spans="1:36" x14ac:dyDescent="0.25">
      <c r="A6" s="71">
        <v>6</v>
      </c>
      <c r="B6" s="84" t="s">
        <v>207</v>
      </c>
      <c r="C6" s="85" t="s">
        <v>257</v>
      </c>
      <c r="D6" s="141"/>
      <c r="E6" s="141"/>
      <c r="F6" s="141"/>
      <c r="G6" s="141"/>
      <c r="H6" s="141"/>
      <c r="I6" s="141">
        <v>1.228</v>
      </c>
      <c r="J6" s="141">
        <v>321</v>
      </c>
      <c r="K6" s="141">
        <v>321</v>
      </c>
      <c r="L6" s="141">
        <v>154.65299999999999</v>
      </c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3">
        <f t="shared" ref="AE6:AE15" si="0">AB6+Y6+V6+S6+P6+M6+J6+G6+D6</f>
        <v>321</v>
      </c>
      <c r="AF6" s="87">
        <v>173</v>
      </c>
      <c r="AG6" s="194">
        <v>211</v>
      </c>
      <c r="AH6" s="196">
        <f t="shared" ref="AH6:AI16" si="1">E6+H6+K6+N6+Q6+T6+W6+Z6+AC6</f>
        <v>321</v>
      </c>
      <c r="AI6" s="196">
        <f t="shared" si="1"/>
        <v>155.881</v>
      </c>
      <c r="AJ6" s="273">
        <f t="shared" ref="AJ6:AJ20" si="2">AI6/AH6</f>
        <v>0.48561059190031153</v>
      </c>
    </row>
    <row r="7" spans="1:36" x14ac:dyDescent="0.25">
      <c r="A7" s="71">
        <v>7</v>
      </c>
      <c r="B7" s="84" t="s">
        <v>213</v>
      </c>
      <c r="C7" s="85" t="s">
        <v>258</v>
      </c>
      <c r="D7" s="141">
        <v>307</v>
      </c>
      <c r="E7" s="141">
        <v>396</v>
      </c>
      <c r="F7" s="141">
        <v>279</v>
      </c>
      <c r="G7" s="141">
        <v>62</v>
      </c>
      <c r="H7" s="141">
        <v>78.8</v>
      </c>
      <c r="I7" s="141">
        <v>49.530999999999999</v>
      </c>
      <c r="J7" s="141">
        <v>320</v>
      </c>
      <c r="K7" s="141">
        <v>320</v>
      </c>
      <c r="L7" s="141">
        <v>115.053</v>
      </c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3">
        <f t="shared" si="0"/>
        <v>689</v>
      </c>
      <c r="AF7" s="87">
        <v>3044</v>
      </c>
      <c r="AG7" s="194">
        <v>2528</v>
      </c>
      <c r="AH7" s="196">
        <f t="shared" si="1"/>
        <v>794.8</v>
      </c>
      <c r="AI7" s="196">
        <f t="shared" si="1"/>
        <v>443.584</v>
      </c>
      <c r="AJ7" s="273">
        <f t="shared" si="2"/>
        <v>0.55810770005032717</v>
      </c>
    </row>
    <row r="8" spans="1:36" x14ac:dyDescent="0.25">
      <c r="A8" s="71">
        <v>8</v>
      </c>
      <c r="B8" s="84" t="s">
        <v>207</v>
      </c>
      <c r="C8" s="85" t="s">
        <v>259</v>
      </c>
      <c r="D8" s="141">
        <v>6681</v>
      </c>
      <c r="E8" s="141">
        <v>6883.6</v>
      </c>
      <c r="F8" s="141">
        <v>4702.4780000000001</v>
      </c>
      <c r="G8" s="141">
        <v>1336</v>
      </c>
      <c r="H8" s="141">
        <v>1375.7470000000001</v>
      </c>
      <c r="I8" s="141">
        <v>994.02099999999996</v>
      </c>
      <c r="J8" s="141">
        <v>1521</v>
      </c>
      <c r="K8" s="141">
        <v>1521</v>
      </c>
      <c r="L8" s="141">
        <v>990.93200000000002</v>
      </c>
      <c r="M8" s="141"/>
      <c r="N8" s="141"/>
      <c r="O8" s="141"/>
      <c r="P8" s="141"/>
      <c r="Q8" s="141"/>
      <c r="R8" s="141"/>
      <c r="S8" s="141"/>
      <c r="T8" s="141"/>
      <c r="U8" s="141">
        <v>11.9</v>
      </c>
      <c r="V8" s="141"/>
      <c r="W8" s="141"/>
      <c r="X8" s="141"/>
      <c r="Y8" s="141"/>
      <c r="Z8" s="141"/>
      <c r="AA8" s="141"/>
      <c r="AB8" s="141"/>
      <c r="AC8" s="141"/>
      <c r="AD8" s="141"/>
      <c r="AE8" s="143">
        <f t="shared" si="0"/>
        <v>9538</v>
      </c>
      <c r="AF8" s="87">
        <v>6614</v>
      </c>
      <c r="AG8" s="194">
        <v>6801</v>
      </c>
      <c r="AH8" s="196">
        <f t="shared" si="1"/>
        <v>9780.3469999999998</v>
      </c>
      <c r="AI8" s="196">
        <f>F8+I8+L8+O8+R8+U8+X8+AA8+AD8</f>
        <v>6699.3309999999992</v>
      </c>
      <c r="AJ8" s="273">
        <f t="shared" si="2"/>
        <v>0.6849788662917583</v>
      </c>
    </row>
    <row r="9" spans="1:36" x14ac:dyDescent="0.25">
      <c r="A9" s="71">
        <v>9</v>
      </c>
      <c r="B9" s="84" t="s">
        <v>207</v>
      </c>
      <c r="C9" s="85" t="s">
        <v>260</v>
      </c>
      <c r="D9" s="141"/>
      <c r="E9" s="141"/>
      <c r="F9" s="141"/>
      <c r="G9" s="141"/>
      <c r="H9" s="141"/>
      <c r="I9" s="141"/>
      <c r="J9" s="141">
        <v>600</v>
      </c>
      <c r="K9" s="141">
        <v>600</v>
      </c>
      <c r="L9" s="141">
        <v>400</v>
      </c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3">
        <f t="shared" si="0"/>
        <v>600</v>
      </c>
      <c r="AF9" s="87">
        <v>480</v>
      </c>
      <c r="AG9" s="194">
        <v>480</v>
      </c>
      <c r="AH9" s="196">
        <f t="shared" si="1"/>
        <v>600</v>
      </c>
      <c r="AI9" s="196">
        <f t="shared" si="1"/>
        <v>400</v>
      </c>
      <c r="AJ9" s="273">
        <f t="shared" si="2"/>
        <v>0.66666666666666663</v>
      </c>
    </row>
    <row r="10" spans="1:36" x14ac:dyDescent="0.25">
      <c r="A10" s="71">
        <v>10</v>
      </c>
      <c r="B10" s="84" t="s">
        <v>213</v>
      </c>
      <c r="C10" s="85" t="s">
        <v>298</v>
      </c>
      <c r="D10" s="141">
        <v>47814</v>
      </c>
      <c r="E10" s="134">
        <v>53483.6</v>
      </c>
      <c r="F10" s="134">
        <v>37019.415000000001</v>
      </c>
      <c r="G10" s="141">
        <v>9283</v>
      </c>
      <c r="H10" s="141">
        <v>10388.898999999999</v>
      </c>
      <c r="I10" s="141">
        <v>7237.8450000000003</v>
      </c>
      <c r="J10" s="141">
        <v>30380</v>
      </c>
      <c r="K10" s="141">
        <v>30380</v>
      </c>
      <c r="L10" s="141">
        <v>17490.525000000001</v>
      </c>
      <c r="M10" s="141"/>
      <c r="N10" s="141"/>
      <c r="O10" s="141"/>
      <c r="P10" s="141"/>
      <c r="Q10" s="141"/>
      <c r="R10" s="141"/>
      <c r="S10" s="141">
        <v>127</v>
      </c>
      <c r="T10" s="141">
        <v>127</v>
      </c>
      <c r="U10" s="141">
        <v>16.899999999999999</v>
      </c>
      <c r="V10" s="141"/>
      <c r="W10" s="141"/>
      <c r="X10" s="141"/>
      <c r="Y10" s="141"/>
      <c r="Z10" s="141"/>
      <c r="AA10" s="141"/>
      <c r="AB10" s="141"/>
      <c r="AC10" s="141"/>
      <c r="AD10" s="141"/>
      <c r="AE10" s="143">
        <f t="shared" si="0"/>
        <v>87604</v>
      </c>
      <c r="AF10" s="87">
        <v>63126</v>
      </c>
      <c r="AG10" s="194">
        <f>58896+3200</f>
        <v>62096</v>
      </c>
      <c r="AH10" s="196">
        <f t="shared" si="1"/>
        <v>94379.498999999996</v>
      </c>
      <c r="AI10" s="196">
        <f t="shared" si="1"/>
        <v>61764.685000000005</v>
      </c>
      <c r="AJ10" s="273">
        <f t="shared" si="2"/>
        <v>0.65442904078140962</v>
      </c>
    </row>
    <row r="11" spans="1:36" x14ac:dyDescent="0.25">
      <c r="A11" s="71">
        <v>11</v>
      </c>
      <c r="B11" s="84" t="s">
        <v>207</v>
      </c>
      <c r="C11" s="85" t="s">
        <v>262</v>
      </c>
      <c r="D11" s="141">
        <v>6695</v>
      </c>
      <c r="E11" s="141">
        <v>8833.2000000000007</v>
      </c>
      <c r="F11" s="141">
        <v>6208.9560000000001</v>
      </c>
      <c r="G11" s="141">
        <v>1314</v>
      </c>
      <c r="H11" s="141">
        <v>1733.771</v>
      </c>
      <c r="I11" s="141">
        <v>1234.2190000000001</v>
      </c>
      <c r="J11" s="141">
        <v>2628</v>
      </c>
      <c r="K11" s="141">
        <v>2628</v>
      </c>
      <c r="L11" s="141">
        <v>1709.269</v>
      </c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3">
        <f t="shared" si="0"/>
        <v>10637</v>
      </c>
      <c r="AF11" s="87">
        <v>9158</v>
      </c>
      <c r="AG11" s="194">
        <v>8953</v>
      </c>
      <c r="AH11" s="196">
        <f t="shared" si="1"/>
        <v>13194.971000000001</v>
      </c>
      <c r="AI11" s="196">
        <f t="shared" si="1"/>
        <v>9152.4439999999995</v>
      </c>
      <c r="AJ11" s="273">
        <f t="shared" si="2"/>
        <v>0.69363123268705917</v>
      </c>
    </row>
    <row r="12" spans="1:36" x14ac:dyDescent="0.25">
      <c r="A12" s="71">
        <v>12</v>
      </c>
      <c r="B12" s="84" t="s">
        <v>207</v>
      </c>
      <c r="C12" s="85" t="s">
        <v>350</v>
      </c>
      <c r="D12" s="141">
        <v>6892</v>
      </c>
      <c r="E12" s="141">
        <v>9714.7999999999993</v>
      </c>
      <c r="F12" s="141">
        <v>7617.924</v>
      </c>
      <c r="G12" s="141">
        <v>1293</v>
      </c>
      <c r="H12" s="141">
        <v>1843.5940000000001</v>
      </c>
      <c r="I12" s="141">
        <v>1515.9369999999999</v>
      </c>
      <c r="J12" s="141">
        <v>727</v>
      </c>
      <c r="K12" s="141">
        <v>727</v>
      </c>
      <c r="L12" s="141">
        <v>211.50399999999999</v>
      </c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3">
        <f t="shared" si="0"/>
        <v>8912</v>
      </c>
      <c r="AF12" s="87">
        <v>2424</v>
      </c>
      <c r="AG12" s="194">
        <v>2678</v>
      </c>
      <c r="AH12" s="196">
        <f t="shared" si="1"/>
        <v>12285.394</v>
      </c>
      <c r="AI12" s="196">
        <f t="shared" si="1"/>
        <v>9345.3650000000016</v>
      </c>
      <c r="AJ12" s="273">
        <f t="shared" si="2"/>
        <v>0.76068907517333195</v>
      </c>
    </row>
    <row r="13" spans="1:36" x14ac:dyDescent="0.25">
      <c r="A13" s="71">
        <v>13</v>
      </c>
      <c r="B13" s="84" t="s">
        <v>207</v>
      </c>
      <c r="C13" s="85" t="s">
        <v>263</v>
      </c>
      <c r="D13" s="141">
        <v>3312</v>
      </c>
      <c r="E13" s="141">
        <v>3565.8</v>
      </c>
      <c r="F13" s="141">
        <v>2556.5770000000002</v>
      </c>
      <c r="G13" s="141">
        <v>641</v>
      </c>
      <c r="H13" s="141">
        <v>690.01499999999999</v>
      </c>
      <c r="I13" s="141">
        <v>507.49299999999999</v>
      </c>
      <c r="J13" s="141">
        <v>7518</v>
      </c>
      <c r="K13" s="141">
        <v>7518</v>
      </c>
      <c r="L13" s="141">
        <v>3753.69</v>
      </c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3">
        <f t="shared" si="0"/>
        <v>11471</v>
      </c>
      <c r="AF13" s="87">
        <v>15074</v>
      </c>
      <c r="AG13" s="194">
        <v>15183</v>
      </c>
      <c r="AH13" s="196">
        <f t="shared" si="1"/>
        <v>11773.815000000001</v>
      </c>
      <c r="AI13" s="196">
        <f t="shared" si="1"/>
        <v>6817.76</v>
      </c>
      <c r="AJ13" s="273">
        <f t="shared" si="2"/>
        <v>0.57906124735270603</v>
      </c>
    </row>
    <row r="14" spans="1:36" x14ac:dyDescent="0.25">
      <c r="A14" s="71">
        <v>14</v>
      </c>
      <c r="B14" s="84" t="s">
        <v>207</v>
      </c>
      <c r="C14" s="85" t="s">
        <v>264</v>
      </c>
      <c r="D14" s="141">
        <v>7590</v>
      </c>
      <c r="E14" s="141">
        <v>7929</v>
      </c>
      <c r="F14" s="141">
        <v>5592.3320000000003</v>
      </c>
      <c r="G14" s="141">
        <v>1482</v>
      </c>
      <c r="H14" s="141">
        <v>1548</v>
      </c>
      <c r="I14" s="141">
        <v>1110.731</v>
      </c>
      <c r="J14" s="141">
        <v>467</v>
      </c>
      <c r="K14" s="141">
        <v>467</v>
      </c>
      <c r="L14" s="141">
        <v>42.343000000000004</v>
      </c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3">
        <f t="shared" si="0"/>
        <v>9539</v>
      </c>
      <c r="AF14" s="87">
        <v>6981</v>
      </c>
      <c r="AG14" s="194">
        <v>7395</v>
      </c>
      <c r="AH14" s="196">
        <f t="shared" si="1"/>
        <v>9944</v>
      </c>
      <c r="AI14" s="196">
        <f t="shared" si="1"/>
        <v>6745.4059999999999</v>
      </c>
      <c r="AJ14" s="273">
        <f t="shared" si="2"/>
        <v>0.67833930008045051</v>
      </c>
    </row>
    <row r="15" spans="1:36" x14ac:dyDescent="0.25">
      <c r="A15" s="71">
        <v>15</v>
      </c>
      <c r="B15" s="84" t="s">
        <v>213</v>
      </c>
      <c r="C15" s="85" t="s">
        <v>230</v>
      </c>
      <c r="D15" s="141">
        <v>1757</v>
      </c>
      <c r="E15" s="141">
        <v>1757</v>
      </c>
      <c r="F15" s="141">
        <v>1259.9780000000001</v>
      </c>
      <c r="G15" s="141">
        <v>343</v>
      </c>
      <c r="H15" s="141">
        <v>343</v>
      </c>
      <c r="I15" s="141">
        <v>340.79500000000002</v>
      </c>
      <c r="J15" s="141">
        <v>462</v>
      </c>
      <c r="K15" s="141">
        <v>462</v>
      </c>
      <c r="L15" s="141">
        <v>376.99700000000001</v>
      </c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3">
        <f t="shared" si="0"/>
        <v>2562</v>
      </c>
      <c r="AF15" s="87">
        <v>5328</v>
      </c>
      <c r="AG15" s="194">
        <v>5274</v>
      </c>
      <c r="AH15" s="196">
        <f t="shared" si="1"/>
        <v>2562</v>
      </c>
      <c r="AI15" s="196">
        <f t="shared" si="1"/>
        <v>1977.7700000000002</v>
      </c>
      <c r="AJ15" s="273">
        <f t="shared" si="2"/>
        <v>0.77196330991412965</v>
      </c>
    </row>
    <row r="16" spans="1:36" x14ac:dyDescent="0.25">
      <c r="A16" s="71">
        <v>17</v>
      </c>
      <c r="B16" s="84" t="s">
        <v>213</v>
      </c>
      <c r="C16" s="85" t="s">
        <v>265</v>
      </c>
      <c r="D16" s="141"/>
      <c r="E16" s="141"/>
      <c r="F16" s="141"/>
      <c r="G16" s="141"/>
      <c r="H16" s="141"/>
      <c r="I16" s="141"/>
      <c r="J16" s="141">
        <v>1430</v>
      </c>
      <c r="K16" s="141">
        <v>1430</v>
      </c>
      <c r="L16" s="141">
        <v>513.13199999999995</v>
      </c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3">
        <f>AB16+Y16+V16+S16+P16+M16+J16+G16+D16</f>
        <v>1430</v>
      </c>
      <c r="AF16" s="87"/>
      <c r="AG16" s="194">
        <v>1722</v>
      </c>
      <c r="AH16" s="196">
        <f t="shared" si="1"/>
        <v>1430</v>
      </c>
      <c r="AI16" s="196">
        <f t="shared" si="1"/>
        <v>513.13199999999995</v>
      </c>
      <c r="AJ16" s="273">
        <f t="shared" si="2"/>
        <v>0.3588335664335664</v>
      </c>
    </row>
    <row r="17" spans="1:36" x14ac:dyDescent="0.25">
      <c r="A17" s="71">
        <v>18</v>
      </c>
      <c r="B17" s="84"/>
      <c r="C17" s="235" t="s">
        <v>253</v>
      </c>
      <c r="D17" s="143">
        <f t="shared" ref="D17:AH17" si="3">SUM(D5:D16)</f>
        <v>81168</v>
      </c>
      <c r="E17" s="143">
        <f t="shared" ref="E17:F17" si="4">SUM(E5:E16)</f>
        <v>92683</v>
      </c>
      <c r="F17" s="508">
        <f t="shared" si="4"/>
        <v>65326.66</v>
      </c>
      <c r="G17" s="143">
        <f t="shared" si="3"/>
        <v>15783</v>
      </c>
      <c r="H17" s="143">
        <f t="shared" ref="H17:I17" si="5">SUM(H5:H16)</f>
        <v>18030.826000000001</v>
      </c>
      <c r="I17" s="508">
        <f t="shared" si="5"/>
        <v>13012.977000000001</v>
      </c>
      <c r="J17" s="143">
        <f t="shared" si="3"/>
        <v>46957</v>
      </c>
      <c r="K17" s="143">
        <f t="shared" ref="K17:L17" si="6">SUM(K5:K16)</f>
        <v>46957</v>
      </c>
      <c r="L17" s="508">
        <f t="shared" si="6"/>
        <v>25982.195000000003</v>
      </c>
      <c r="M17" s="143">
        <f t="shared" si="3"/>
        <v>0</v>
      </c>
      <c r="N17" s="143">
        <f t="shared" ref="N17:O17" si="7">SUM(N5:N16)</f>
        <v>0</v>
      </c>
      <c r="O17" s="143">
        <f t="shared" si="7"/>
        <v>0</v>
      </c>
      <c r="P17" s="143">
        <f t="shared" si="3"/>
        <v>120</v>
      </c>
      <c r="Q17" s="143">
        <f t="shared" ref="Q17:R17" si="8">SUM(Q5:Q16)</f>
        <v>120</v>
      </c>
      <c r="R17" s="508">
        <f t="shared" si="8"/>
        <v>90</v>
      </c>
      <c r="S17" s="143">
        <f t="shared" si="3"/>
        <v>127</v>
      </c>
      <c r="T17" s="143">
        <f t="shared" ref="T17:U17" si="9">SUM(T5:T16)</f>
        <v>127</v>
      </c>
      <c r="U17" s="508">
        <f t="shared" si="9"/>
        <v>28.799999999999997</v>
      </c>
      <c r="V17" s="143">
        <f t="shared" si="3"/>
        <v>0</v>
      </c>
      <c r="W17" s="143">
        <f t="shared" ref="W17:X17" si="10">SUM(W5:W16)</f>
        <v>0</v>
      </c>
      <c r="X17" s="143">
        <f t="shared" si="10"/>
        <v>0</v>
      </c>
      <c r="Y17" s="143">
        <f t="shared" si="3"/>
        <v>0</v>
      </c>
      <c r="Z17" s="143">
        <f t="shared" ref="Z17:AA17" si="11">SUM(Z5:Z16)</f>
        <v>0</v>
      </c>
      <c r="AA17" s="143">
        <f t="shared" si="11"/>
        <v>0</v>
      </c>
      <c r="AB17" s="143">
        <f t="shared" si="3"/>
        <v>0</v>
      </c>
      <c r="AC17" s="143">
        <f t="shared" ref="AC17:AD17" si="12">SUM(AC5:AC16)</f>
        <v>0</v>
      </c>
      <c r="AD17" s="143">
        <f t="shared" si="12"/>
        <v>0</v>
      </c>
      <c r="AE17" s="143">
        <f t="shared" si="3"/>
        <v>144155</v>
      </c>
      <c r="AF17" s="143">
        <f t="shared" si="3"/>
        <v>123719</v>
      </c>
      <c r="AG17" s="143">
        <f t="shared" si="3"/>
        <v>123639</v>
      </c>
      <c r="AH17" s="143">
        <f t="shared" si="3"/>
        <v>157917.826</v>
      </c>
      <c r="AI17" s="508">
        <f t="shared" ref="AI17" si="13">SUM(AI5:AI16)</f>
        <v>104440.63200000001</v>
      </c>
      <c r="AJ17" s="273">
        <f t="shared" si="2"/>
        <v>0.6613606243540866</v>
      </c>
    </row>
    <row r="18" spans="1:36" x14ac:dyDescent="0.25">
      <c r="A18" s="71">
        <v>19</v>
      </c>
      <c r="B18" s="84"/>
      <c r="C18" s="80" t="s">
        <v>238</v>
      </c>
      <c r="D18" s="144">
        <f>SUMIF($B5:$B16,"kötelező",D5:D16)</f>
        <v>31290</v>
      </c>
      <c r="E18" s="144">
        <f>SUMIF($B5:$B16,"kötelező",E5:E16)</f>
        <v>37046.399999999994</v>
      </c>
      <c r="F18" s="144">
        <f>SUMIF($B5:$B16,"kötelező",F5:F16)</f>
        <v>26768.267</v>
      </c>
      <c r="G18" s="144">
        <f t="shared" ref="G18:AH18" si="14">SUMIF($B5:$B15,"kötelező",G5:G15)</f>
        <v>6095</v>
      </c>
      <c r="H18" s="144">
        <f t="shared" ref="H18:I18" si="15">SUMIF($B5:$B15,"kötelező",H5:H15)</f>
        <v>7220.1270000000004</v>
      </c>
      <c r="I18" s="144">
        <f t="shared" si="15"/>
        <v>5384.8059999999996</v>
      </c>
      <c r="J18" s="144">
        <f t="shared" si="14"/>
        <v>14365</v>
      </c>
      <c r="K18" s="144">
        <f t="shared" ref="K18:L18" si="16">SUMIF($B5:$B15,"kötelező",K5:K15)</f>
        <v>14365</v>
      </c>
      <c r="L18" s="144">
        <f t="shared" si="16"/>
        <v>7486.4880000000003</v>
      </c>
      <c r="M18" s="144">
        <f t="shared" si="14"/>
        <v>0</v>
      </c>
      <c r="N18" s="144">
        <f t="shared" ref="N18:O18" si="17">SUMIF($B5:$B15,"kötelező",N5:N15)</f>
        <v>0</v>
      </c>
      <c r="O18" s="144">
        <f t="shared" si="17"/>
        <v>0</v>
      </c>
      <c r="P18" s="144">
        <f t="shared" si="14"/>
        <v>120</v>
      </c>
      <c r="Q18" s="144">
        <f t="shared" ref="Q18:R18" si="18">SUMIF($B5:$B15,"kötelező",Q5:Q15)</f>
        <v>120</v>
      </c>
      <c r="R18" s="144">
        <f t="shared" si="18"/>
        <v>90</v>
      </c>
      <c r="S18" s="144">
        <f t="shared" si="14"/>
        <v>0</v>
      </c>
      <c r="T18" s="144">
        <f t="shared" ref="T18:U18" si="19">SUMIF($B5:$B15,"kötelező",T5:T15)</f>
        <v>0</v>
      </c>
      <c r="U18" s="144">
        <f t="shared" si="19"/>
        <v>11.9</v>
      </c>
      <c r="V18" s="144">
        <f t="shared" si="14"/>
        <v>0</v>
      </c>
      <c r="W18" s="144">
        <f t="shared" ref="W18:X18" si="20">SUMIF($B5:$B15,"kötelező",W5:W15)</f>
        <v>0</v>
      </c>
      <c r="X18" s="144">
        <f t="shared" si="20"/>
        <v>0</v>
      </c>
      <c r="Y18" s="144">
        <f t="shared" si="14"/>
        <v>0</v>
      </c>
      <c r="Z18" s="144">
        <f t="shared" ref="Z18:AA18" si="21">SUMIF($B5:$B15,"kötelező",Z5:Z15)</f>
        <v>0</v>
      </c>
      <c r="AA18" s="144">
        <f t="shared" si="21"/>
        <v>0</v>
      </c>
      <c r="AB18" s="144">
        <f t="shared" si="14"/>
        <v>0</v>
      </c>
      <c r="AC18" s="144">
        <f t="shared" ref="AC18:AD18" si="22">SUMIF($B5:$B15,"kötelező",AC5:AC15)</f>
        <v>0</v>
      </c>
      <c r="AD18" s="144">
        <f t="shared" si="22"/>
        <v>0</v>
      </c>
      <c r="AE18" s="144">
        <f t="shared" si="14"/>
        <v>51870</v>
      </c>
      <c r="AF18" s="144">
        <f t="shared" si="14"/>
        <v>52221</v>
      </c>
      <c r="AG18" s="144">
        <f t="shared" si="14"/>
        <v>52019</v>
      </c>
      <c r="AH18" s="144">
        <f t="shared" si="14"/>
        <v>58751.527000000002</v>
      </c>
      <c r="AI18" s="144">
        <f t="shared" ref="AI18" si="23">SUMIF($B5:$B15,"kötelező",AI5:AI15)</f>
        <v>39741.461000000003</v>
      </c>
      <c r="AJ18" s="272">
        <f t="shared" si="2"/>
        <v>0.67643281850359394</v>
      </c>
    </row>
    <row r="19" spans="1:36" x14ac:dyDescent="0.25">
      <c r="A19" s="71">
        <v>20</v>
      </c>
      <c r="B19" s="84"/>
      <c r="C19" s="80" t="s">
        <v>239</v>
      </c>
      <c r="D19" s="144">
        <f t="shared" ref="D19:AH19" si="24">SUMIF($B5:$B16,"nem kötelező",D5:D16)</f>
        <v>49878</v>
      </c>
      <c r="E19" s="144">
        <f t="shared" ref="E19:F19" si="25">SUMIF($B5:$B16,"nem kötelező",E5:E16)</f>
        <v>55636.6</v>
      </c>
      <c r="F19" s="144">
        <f t="shared" si="25"/>
        <v>38558.393000000004</v>
      </c>
      <c r="G19" s="144">
        <f t="shared" si="24"/>
        <v>9688</v>
      </c>
      <c r="H19" s="144">
        <f t="shared" ref="H19:I19" si="26">SUMIF($B5:$B16,"nem kötelező",H5:H16)</f>
        <v>10810.698999999999</v>
      </c>
      <c r="I19" s="144">
        <f t="shared" si="26"/>
        <v>7628.1710000000003</v>
      </c>
      <c r="J19" s="144">
        <f t="shared" si="24"/>
        <v>32592</v>
      </c>
      <c r="K19" s="144">
        <f t="shared" ref="K19:L19" si="27">SUMIF($B5:$B16,"nem kötelező",K5:K16)</f>
        <v>32592</v>
      </c>
      <c r="L19" s="144">
        <f t="shared" si="27"/>
        <v>18495.707000000002</v>
      </c>
      <c r="M19" s="144">
        <f t="shared" si="24"/>
        <v>0</v>
      </c>
      <c r="N19" s="144">
        <f t="shared" ref="N19:O19" si="28">SUMIF($B5:$B16,"nem kötelező",N5:N16)</f>
        <v>0</v>
      </c>
      <c r="O19" s="144">
        <f t="shared" si="28"/>
        <v>0</v>
      </c>
      <c r="P19" s="144">
        <f t="shared" si="24"/>
        <v>0</v>
      </c>
      <c r="Q19" s="144">
        <f t="shared" ref="Q19:R19" si="29">SUMIF($B5:$B16,"nem kötelező",Q5:Q16)</f>
        <v>0</v>
      </c>
      <c r="R19" s="144">
        <f t="shared" si="29"/>
        <v>0</v>
      </c>
      <c r="S19" s="144">
        <f t="shared" si="24"/>
        <v>127</v>
      </c>
      <c r="T19" s="144">
        <f t="shared" ref="T19:U19" si="30">SUMIF($B5:$B16,"nem kötelező",T5:T16)</f>
        <v>127</v>
      </c>
      <c r="U19" s="144">
        <f t="shared" si="30"/>
        <v>16.899999999999999</v>
      </c>
      <c r="V19" s="144">
        <f t="shared" si="24"/>
        <v>0</v>
      </c>
      <c r="W19" s="144">
        <f t="shared" ref="W19:X19" si="31">SUMIF($B5:$B16,"nem kötelező",W5:W16)</f>
        <v>0</v>
      </c>
      <c r="X19" s="144">
        <f t="shared" si="31"/>
        <v>0</v>
      </c>
      <c r="Y19" s="144">
        <f t="shared" si="24"/>
        <v>0</v>
      </c>
      <c r="Z19" s="144">
        <f t="shared" ref="Z19:AA19" si="32">SUMIF($B5:$B16,"nem kötelező",Z5:Z16)</f>
        <v>0</v>
      </c>
      <c r="AA19" s="144">
        <f t="shared" si="32"/>
        <v>0</v>
      </c>
      <c r="AB19" s="144">
        <f t="shared" si="24"/>
        <v>0</v>
      </c>
      <c r="AC19" s="144">
        <f t="shared" ref="AC19:AD19" si="33">SUMIF($B5:$B16,"nem kötelező",AC5:AC16)</f>
        <v>0</v>
      </c>
      <c r="AD19" s="144">
        <f t="shared" si="33"/>
        <v>0</v>
      </c>
      <c r="AE19" s="144">
        <f t="shared" si="24"/>
        <v>92285</v>
      </c>
      <c r="AF19" s="144">
        <f t="shared" si="24"/>
        <v>71498</v>
      </c>
      <c r="AG19" s="144">
        <f t="shared" si="24"/>
        <v>71620</v>
      </c>
      <c r="AH19" s="144">
        <f t="shared" si="24"/>
        <v>99166.298999999999</v>
      </c>
      <c r="AI19" s="144">
        <f t="shared" ref="AI19" si="34">SUMIF($B5:$B16,"nem kötelező",AI5:AI16)</f>
        <v>64699.171000000002</v>
      </c>
      <c r="AJ19" s="272">
        <f t="shared" si="2"/>
        <v>0.65243103405522884</v>
      </c>
    </row>
    <row r="20" spans="1:36" x14ac:dyDescent="0.25">
      <c r="A20" s="71">
        <v>21</v>
      </c>
      <c r="B20" s="84"/>
      <c r="C20" s="80" t="s">
        <v>299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>
        <v>31</v>
      </c>
      <c r="AF20" s="88">
        <v>30</v>
      </c>
      <c r="AG20" s="88">
        <v>30</v>
      </c>
      <c r="AH20" s="88">
        <v>31</v>
      </c>
      <c r="AI20" s="317">
        <v>31.77</v>
      </c>
      <c r="AJ20" s="273">
        <f t="shared" si="2"/>
        <v>1.0248387096774194</v>
      </c>
    </row>
    <row r="21" spans="1:36" x14ac:dyDescent="0.25">
      <c r="A21" s="71">
        <v>22</v>
      </c>
      <c r="B21" s="84"/>
      <c r="C21" s="80" t="s">
        <v>296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>
        <v>0</v>
      </c>
      <c r="AF21" s="87">
        <v>0</v>
      </c>
      <c r="AG21" s="87">
        <v>0</v>
      </c>
      <c r="AH21" s="87">
        <v>0</v>
      </c>
      <c r="AI21" s="80"/>
      <c r="AJ21" s="80"/>
    </row>
  </sheetData>
  <mergeCells count="12">
    <mergeCell ref="V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1"/>
  <sheetViews>
    <sheetView view="pageBreakPreview" topLeftCell="N1" zoomScaleNormal="100" zoomScaleSheetLayoutView="100" workbookViewId="0">
      <selection activeCell="AI11" sqref="AI11"/>
    </sheetView>
  </sheetViews>
  <sheetFormatPr defaultRowHeight="15" x14ac:dyDescent="0.25"/>
  <cols>
    <col min="1" max="1" width="9.140625" style="72"/>
    <col min="2" max="2" width="14" style="89" customWidth="1"/>
    <col min="3" max="3" width="29.42578125" style="72" bestFit="1" customWidth="1"/>
    <col min="4" max="18" width="12.7109375" style="72" customWidth="1"/>
    <col min="19" max="21" width="14.42578125" style="72" customWidth="1"/>
    <col min="22" max="31" width="12.7109375" style="72" customWidth="1"/>
    <col min="32" max="32" width="0" style="72" hidden="1" customWidth="1"/>
    <col min="33" max="33" width="11.28515625" style="72" hidden="1" customWidth="1"/>
    <col min="34" max="35" width="11.28515625" style="72" bestFit="1" customWidth="1"/>
    <col min="36" max="16384" width="9.140625" style="72"/>
  </cols>
  <sheetData>
    <row r="1" spans="1:36" x14ac:dyDescent="0.25">
      <c r="V1" s="589" t="s">
        <v>426</v>
      </c>
      <c r="W1" s="589"/>
      <c r="X1" s="589"/>
      <c r="Y1" s="589"/>
      <c r="Z1" s="589"/>
      <c r="AA1" s="589"/>
      <c r="AB1" s="589"/>
      <c r="AC1" s="589"/>
      <c r="AD1" s="589"/>
      <c r="AE1" s="589"/>
    </row>
    <row r="2" spans="1:36" ht="57" customHeight="1" x14ac:dyDescent="0.25">
      <c r="A2" s="71">
        <v>1</v>
      </c>
      <c r="B2" s="84"/>
      <c r="C2" s="590" t="s">
        <v>548</v>
      </c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</row>
    <row r="3" spans="1:36" ht="56.25" customHeight="1" x14ac:dyDescent="0.25">
      <c r="A3" s="71">
        <v>2</v>
      </c>
      <c r="B3" s="73" t="s">
        <v>255</v>
      </c>
      <c r="C3" s="74" t="s">
        <v>199</v>
      </c>
      <c r="D3" s="591" t="s">
        <v>91</v>
      </c>
      <c r="E3" s="592"/>
      <c r="F3" s="593"/>
      <c r="G3" s="591" t="s">
        <v>270</v>
      </c>
      <c r="H3" s="592"/>
      <c r="I3" s="593"/>
      <c r="J3" s="591" t="s">
        <v>93</v>
      </c>
      <c r="K3" s="592"/>
      <c r="L3" s="593"/>
      <c r="M3" s="591" t="s">
        <v>271</v>
      </c>
      <c r="N3" s="592"/>
      <c r="O3" s="593"/>
      <c r="P3" s="591" t="s">
        <v>95</v>
      </c>
      <c r="Q3" s="592"/>
      <c r="R3" s="593"/>
      <c r="S3" s="591" t="s">
        <v>109</v>
      </c>
      <c r="T3" s="592"/>
      <c r="U3" s="593"/>
      <c r="V3" s="591" t="s">
        <v>112</v>
      </c>
      <c r="W3" s="592"/>
      <c r="X3" s="593"/>
      <c r="Y3" s="591" t="s">
        <v>274</v>
      </c>
      <c r="Z3" s="592"/>
      <c r="AA3" s="593"/>
      <c r="AB3" s="591" t="s">
        <v>294</v>
      </c>
      <c r="AC3" s="592"/>
      <c r="AD3" s="593"/>
      <c r="AE3" s="600" t="s">
        <v>242</v>
      </c>
      <c r="AF3" s="600"/>
      <c r="AG3" s="600"/>
      <c r="AH3" s="600"/>
      <c r="AI3" s="600"/>
      <c r="AJ3" s="600"/>
    </row>
    <row r="4" spans="1:36" ht="30" x14ac:dyDescent="0.25">
      <c r="A4" s="71">
        <v>3</v>
      </c>
      <c r="B4" s="84"/>
      <c r="C4" s="212" t="s">
        <v>250</v>
      </c>
      <c r="D4" s="75" t="s">
        <v>410</v>
      </c>
      <c r="E4" s="102" t="s">
        <v>406</v>
      </c>
      <c r="F4" s="102" t="s">
        <v>416</v>
      </c>
      <c r="G4" s="75" t="s">
        <v>410</v>
      </c>
      <c r="H4" s="102" t="s">
        <v>406</v>
      </c>
      <c r="I4" s="102" t="s">
        <v>416</v>
      </c>
      <c r="J4" s="75" t="s">
        <v>410</v>
      </c>
      <c r="K4" s="102" t="s">
        <v>406</v>
      </c>
      <c r="L4" s="102" t="s">
        <v>416</v>
      </c>
      <c r="M4" s="75" t="s">
        <v>410</v>
      </c>
      <c r="N4" s="102" t="s">
        <v>406</v>
      </c>
      <c r="O4" s="102" t="s">
        <v>416</v>
      </c>
      <c r="P4" s="75" t="s">
        <v>410</v>
      </c>
      <c r="Q4" s="102" t="s">
        <v>406</v>
      </c>
      <c r="R4" s="102" t="s">
        <v>416</v>
      </c>
      <c r="S4" s="75" t="s">
        <v>410</v>
      </c>
      <c r="T4" s="102" t="s">
        <v>406</v>
      </c>
      <c r="U4" s="102" t="s">
        <v>416</v>
      </c>
      <c r="V4" s="75" t="s">
        <v>410</v>
      </c>
      <c r="W4" s="102" t="s">
        <v>406</v>
      </c>
      <c r="X4" s="102" t="s">
        <v>416</v>
      </c>
      <c r="Y4" s="75" t="s">
        <v>410</v>
      </c>
      <c r="Z4" s="102" t="s">
        <v>406</v>
      </c>
      <c r="AA4" s="102" t="s">
        <v>416</v>
      </c>
      <c r="AB4" s="75" t="s">
        <v>410</v>
      </c>
      <c r="AC4" s="102" t="s">
        <v>406</v>
      </c>
      <c r="AD4" s="102" t="s">
        <v>416</v>
      </c>
      <c r="AE4" s="276" t="s">
        <v>410</v>
      </c>
      <c r="AF4" s="241" t="s">
        <v>406</v>
      </c>
      <c r="AG4" s="276" t="s">
        <v>410</v>
      </c>
      <c r="AH4" s="241" t="s">
        <v>406</v>
      </c>
      <c r="AI4" s="241" t="s">
        <v>416</v>
      </c>
      <c r="AJ4" s="102" t="s">
        <v>417</v>
      </c>
    </row>
    <row r="5" spans="1:36" x14ac:dyDescent="0.25">
      <c r="A5" s="71">
        <v>4</v>
      </c>
      <c r="B5" s="90" t="s">
        <v>207</v>
      </c>
      <c r="C5" s="85" t="s">
        <v>266</v>
      </c>
      <c r="D5" s="141">
        <v>76101</v>
      </c>
      <c r="E5" s="141">
        <v>76438.600000000006</v>
      </c>
      <c r="F5" s="141">
        <v>53624.154999999999</v>
      </c>
      <c r="G5" s="141">
        <v>14932</v>
      </c>
      <c r="H5" s="141">
        <v>14995.057000000001</v>
      </c>
      <c r="I5" s="141">
        <v>10692.165000000001</v>
      </c>
      <c r="J5" s="141">
        <v>6238</v>
      </c>
      <c r="K5" s="141">
        <v>6194</v>
      </c>
      <c r="L5" s="141">
        <v>2798.5819999999999</v>
      </c>
      <c r="M5" s="141"/>
      <c r="N5" s="141"/>
      <c r="O5" s="141"/>
      <c r="P5" s="141">
        <v>127</v>
      </c>
      <c r="Q5" s="141">
        <v>227</v>
      </c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3">
        <f>D5+G5+J5+M5+P5+S5+V5+Y5</f>
        <v>97398</v>
      </c>
      <c r="AF5" s="143">
        <f>E5+H5+K5+N5+Q5+T5+W5+Z5</f>
        <v>97854.657000000007</v>
      </c>
      <c r="AG5" s="143">
        <f t="shared" ref="AG5:AG6" si="0">G5+J5+M5+P5+S5+V5+Y5+AB5</f>
        <v>21297</v>
      </c>
      <c r="AH5" s="143">
        <f>E5+H5+K5+N5+Q5+T5+W5+Z5</f>
        <v>97854.657000000007</v>
      </c>
      <c r="AI5" s="143">
        <f>F5+I5+L5+O5+R5+U5+X5+AA5</f>
        <v>67114.902000000002</v>
      </c>
      <c r="AJ5" s="273">
        <f>AI5/AH5</f>
        <v>0.68586313679480782</v>
      </c>
    </row>
    <row r="6" spans="1:36" ht="25.5" x14ac:dyDescent="0.25">
      <c r="A6" s="71">
        <v>5</v>
      </c>
      <c r="B6" s="90" t="s">
        <v>213</v>
      </c>
      <c r="C6" s="277" t="s">
        <v>300</v>
      </c>
      <c r="D6" s="141">
        <v>125</v>
      </c>
      <c r="E6" s="141">
        <v>125</v>
      </c>
      <c r="F6" s="141"/>
      <c r="G6" s="141">
        <v>20</v>
      </c>
      <c r="H6" s="141">
        <v>20</v>
      </c>
      <c r="I6" s="141"/>
      <c r="J6" s="141">
        <v>25</v>
      </c>
      <c r="K6" s="141">
        <v>25</v>
      </c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3">
        <f>D6+G6+J6+M6+P6+S6+V6+Y6</f>
        <v>170</v>
      </c>
      <c r="AF6" s="143">
        <f>E6+H6+K6+N6+Q6+T6+W6+Z6</f>
        <v>170</v>
      </c>
      <c r="AG6" s="143">
        <f t="shared" si="0"/>
        <v>45</v>
      </c>
      <c r="AH6" s="143">
        <f>E6+H6+K6+N6+Q6+T6+W6+Z6</f>
        <v>170</v>
      </c>
      <c r="AI6" s="143">
        <f>F6+I6+L6+O6+R6+U6+X6+AA6</f>
        <v>0</v>
      </c>
      <c r="AJ6" s="529">
        <f t="shared" ref="AJ6:AJ10" si="1">AI6/AH6</f>
        <v>0</v>
      </c>
    </row>
    <row r="7" spans="1:36" x14ac:dyDescent="0.25">
      <c r="A7" s="71">
        <v>6</v>
      </c>
      <c r="B7" s="90"/>
      <c r="C7" s="235" t="s">
        <v>253</v>
      </c>
      <c r="D7" s="143">
        <f t="shared" ref="D7:AE7" si="2">SUM(D5:D6)</f>
        <v>76226</v>
      </c>
      <c r="E7" s="143">
        <f t="shared" si="2"/>
        <v>76563.600000000006</v>
      </c>
      <c r="F7" s="508">
        <f t="shared" si="2"/>
        <v>53624.154999999999</v>
      </c>
      <c r="G7" s="143">
        <f t="shared" si="2"/>
        <v>14952</v>
      </c>
      <c r="H7" s="143">
        <f t="shared" si="2"/>
        <v>15015.057000000001</v>
      </c>
      <c r="I7" s="508">
        <f t="shared" ref="I7" si="3">SUM(I5:I6)</f>
        <v>10692.165000000001</v>
      </c>
      <c r="J7" s="143">
        <f t="shared" si="2"/>
        <v>6263</v>
      </c>
      <c r="K7" s="143">
        <f t="shared" ref="K7:L7" si="4">SUM(K5:K6)</f>
        <v>6219</v>
      </c>
      <c r="L7" s="508">
        <f t="shared" si="4"/>
        <v>2798.5819999999999</v>
      </c>
      <c r="M7" s="143">
        <f t="shared" si="2"/>
        <v>0</v>
      </c>
      <c r="N7" s="143">
        <f t="shared" ref="N7:O7" si="5">SUM(N5:N6)</f>
        <v>0</v>
      </c>
      <c r="O7" s="143">
        <f t="shared" si="5"/>
        <v>0</v>
      </c>
      <c r="P7" s="143">
        <f t="shared" si="2"/>
        <v>127</v>
      </c>
      <c r="Q7" s="143">
        <f t="shared" ref="Q7:R7" si="6">SUM(Q5:Q6)</f>
        <v>227</v>
      </c>
      <c r="R7" s="143">
        <f t="shared" si="6"/>
        <v>0</v>
      </c>
      <c r="S7" s="143">
        <f t="shared" si="2"/>
        <v>0</v>
      </c>
      <c r="T7" s="143">
        <f t="shared" ref="T7:U7" si="7">SUM(T5:T6)</f>
        <v>0</v>
      </c>
      <c r="U7" s="143">
        <f t="shared" si="7"/>
        <v>0</v>
      </c>
      <c r="V7" s="143">
        <f t="shared" si="2"/>
        <v>0</v>
      </c>
      <c r="W7" s="143">
        <f t="shared" ref="W7:X7" si="8">SUM(W5:W6)</f>
        <v>0</v>
      </c>
      <c r="X7" s="143">
        <f t="shared" si="8"/>
        <v>0</v>
      </c>
      <c r="Y7" s="143">
        <f t="shared" si="2"/>
        <v>0</v>
      </c>
      <c r="Z7" s="143">
        <f t="shared" ref="Z7:AA7" si="9">SUM(Z5:Z6)</f>
        <v>0</v>
      </c>
      <c r="AA7" s="143">
        <f t="shared" si="9"/>
        <v>0</v>
      </c>
      <c r="AB7" s="143">
        <f t="shared" si="2"/>
        <v>0</v>
      </c>
      <c r="AC7" s="143">
        <f t="shared" ref="AC7:AD7" si="10">SUM(AC5:AC6)</f>
        <v>0</v>
      </c>
      <c r="AD7" s="143">
        <f t="shared" si="10"/>
        <v>0</v>
      </c>
      <c r="AE7" s="143">
        <f t="shared" si="2"/>
        <v>97568</v>
      </c>
      <c r="AF7" s="143">
        <f t="shared" ref="AF7:AH7" si="11">SUM(AF5:AF6)</f>
        <v>98024.657000000007</v>
      </c>
      <c r="AG7" s="143">
        <f t="shared" si="11"/>
        <v>21342</v>
      </c>
      <c r="AH7" s="143">
        <f t="shared" si="11"/>
        <v>98024.657000000007</v>
      </c>
      <c r="AI7" s="508">
        <f t="shared" ref="AI7" si="12">SUM(AI5:AI6)</f>
        <v>67114.902000000002</v>
      </c>
      <c r="AJ7" s="273">
        <f t="shared" si="1"/>
        <v>0.68467367348196895</v>
      </c>
    </row>
    <row r="8" spans="1:36" x14ac:dyDescent="0.25">
      <c r="A8" s="71">
        <v>7</v>
      </c>
      <c r="B8" s="90"/>
      <c r="C8" s="81" t="s">
        <v>238</v>
      </c>
      <c r="D8" s="144">
        <f t="shared" ref="D8:AE8" si="13">SUMIF($B5:$B6,"kötelező",D5:D6)</f>
        <v>76101</v>
      </c>
      <c r="E8" s="144">
        <f t="shared" si="13"/>
        <v>76438.600000000006</v>
      </c>
      <c r="F8" s="144">
        <f t="shared" ref="F8" si="14">SUMIF($B5:$B6,"kötelező",F5:F6)</f>
        <v>53624.154999999999</v>
      </c>
      <c r="G8" s="144">
        <f t="shared" si="13"/>
        <v>14932</v>
      </c>
      <c r="H8" s="144">
        <f t="shared" si="13"/>
        <v>14995.057000000001</v>
      </c>
      <c r="I8" s="144">
        <f t="shared" ref="I8" si="15">SUMIF($B5:$B6,"kötelező",I5:I6)</f>
        <v>10692.165000000001</v>
      </c>
      <c r="J8" s="144">
        <f t="shared" si="13"/>
        <v>6238</v>
      </c>
      <c r="K8" s="144">
        <f t="shared" ref="K8:L8" si="16">SUMIF($B5:$B6,"kötelező",K5:K6)</f>
        <v>6194</v>
      </c>
      <c r="L8" s="144">
        <f t="shared" si="16"/>
        <v>2798.5819999999999</v>
      </c>
      <c r="M8" s="144">
        <f t="shared" si="13"/>
        <v>0</v>
      </c>
      <c r="N8" s="144">
        <f t="shared" ref="N8:O8" si="17">SUMIF($B5:$B6,"kötelező",N5:N6)</f>
        <v>0</v>
      </c>
      <c r="O8" s="144">
        <f t="shared" si="17"/>
        <v>0</v>
      </c>
      <c r="P8" s="144">
        <f t="shared" si="13"/>
        <v>127</v>
      </c>
      <c r="Q8" s="144">
        <f t="shared" ref="Q8:R8" si="18">SUMIF($B5:$B6,"kötelező",Q5:Q6)</f>
        <v>227</v>
      </c>
      <c r="R8" s="144">
        <f t="shared" si="18"/>
        <v>0</v>
      </c>
      <c r="S8" s="144">
        <f t="shared" si="13"/>
        <v>0</v>
      </c>
      <c r="T8" s="144">
        <f t="shared" ref="T8:U8" si="19">SUMIF($B5:$B6,"kötelező",T5:T6)</f>
        <v>0</v>
      </c>
      <c r="U8" s="144">
        <f t="shared" si="19"/>
        <v>0</v>
      </c>
      <c r="V8" s="144">
        <f t="shared" si="13"/>
        <v>0</v>
      </c>
      <c r="W8" s="144">
        <f t="shared" ref="W8:X8" si="20">SUMIF($B5:$B6,"kötelező",W5:W6)</f>
        <v>0</v>
      </c>
      <c r="X8" s="144">
        <f t="shared" si="20"/>
        <v>0</v>
      </c>
      <c r="Y8" s="144">
        <f t="shared" si="13"/>
        <v>0</v>
      </c>
      <c r="Z8" s="144">
        <f t="shared" ref="Z8:AA8" si="21">SUMIF($B5:$B6,"kötelező",Z5:Z6)</f>
        <v>0</v>
      </c>
      <c r="AA8" s="144">
        <f t="shared" si="21"/>
        <v>0</v>
      </c>
      <c r="AB8" s="144">
        <f t="shared" si="13"/>
        <v>0</v>
      </c>
      <c r="AC8" s="144">
        <f t="shared" ref="AC8:AD8" si="22">SUMIF($B5:$B6,"kötelező",AC5:AC6)</f>
        <v>0</v>
      </c>
      <c r="AD8" s="144">
        <f t="shared" si="22"/>
        <v>0</v>
      </c>
      <c r="AE8" s="144">
        <f t="shared" si="13"/>
        <v>97398</v>
      </c>
      <c r="AF8" s="144">
        <f t="shared" ref="AF8:AH8" si="23">SUMIF($B5:$B6,"kötelező",AF5:AF6)</f>
        <v>97854.657000000007</v>
      </c>
      <c r="AG8" s="144">
        <f t="shared" si="23"/>
        <v>21297</v>
      </c>
      <c r="AH8" s="144">
        <f t="shared" si="23"/>
        <v>97854.657000000007</v>
      </c>
      <c r="AI8" s="144">
        <f t="shared" ref="AI8" si="24">SUMIF($B5:$B6,"kötelező",AI5:AI6)</f>
        <v>67114.902000000002</v>
      </c>
      <c r="AJ8" s="272">
        <f t="shared" si="1"/>
        <v>0.68586313679480782</v>
      </c>
    </row>
    <row r="9" spans="1:36" x14ac:dyDescent="0.25">
      <c r="A9" s="71">
        <v>8</v>
      </c>
      <c r="B9" s="90"/>
      <c r="C9" s="81" t="s">
        <v>239</v>
      </c>
      <c r="D9" s="144">
        <f t="shared" ref="D9:AE9" si="25">SUMIF($B5:$B6,"nem kötelező",D5:D6)</f>
        <v>125</v>
      </c>
      <c r="E9" s="144">
        <f t="shared" si="25"/>
        <v>125</v>
      </c>
      <c r="F9" s="144">
        <f t="shared" ref="F9" si="26">SUMIF($B5:$B6,"nem kötelező",F5:F6)</f>
        <v>0</v>
      </c>
      <c r="G9" s="144">
        <f t="shared" si="25"/>
        <v>20</v>
      </c>
      <c r="H9" s="144">
        <f t="shared" si="25"/>
        <v>20</v>
      </c>
      <c r="I9" s="144">
        <f t="shared" ref="I9" si="27">SUMIF($B5:$B6,"nem kötelező",I5:I6)</f>
        <v>0</v>
      </c>
      <c r="J9" s="144">
        <f t="shared" si="25"/>
        <v>25</v>
      </c>
      <c r="K9" s="144">
        <f t="shared" ref="K9:L9" si="28">SUMIF($B5:$B6,"nem kötelező",K5:K6)</f>
        <v>25</v>
      </c>
      <c r="L9" s="144">
        <f t="shared" si="28"/>
        <v>0</v>
      </c>
      <c r="M9" s="144">
        <f t="shared" si="25"/>
        <v>0</v>
      </c>
      <c r="N9" s="144">
        <f t="shared" ref="N9:O9" si="29">SUMIF($B5:$B6,"nem kötelező",N5:N6)</f>
        <v>0</v>
      </c>
      <c r="O9" s="144">
        <f t="shared" si="29"/>
        <v>0</v>
      </c>
      <c r="P9" s="144">
        <f t="shared" si="25"/>
        <v>0</v>
      </c>
      <c r="Q9" s="144">
        <f t="shared" ref="Q9:R9" si="30">SUMIF($B5:$B6,"nem kötelező",Q5:Q6)</f>
        <v>0</v>
      </c>
      <c r="R9" s="144">
        <f t="shared" si="30"/>
        <v>0</v>
      </c>
      <c r="S9" s="144">
        <f t="shared" si="25"/>
        <v>0</v>
      </c>
      <c r="T9" s="144">
        <f t="shared" ref="T9:U9" si="31">SUMIF($B5:$B6,"nem kötelező",T5:T6)</f>
        <v>0</v>
      </c>
      <c r="U9" s="144">
        <f t="shared" si="31"/>
        <v>0</v>
      </c>
      <c r="V9" s="144">
        <f t="shared" si="25"/>
        <v>0</v>
      </c>
      <c r="W9" s="144">
        <f t="shared" ref="W9:X9" si="32">SUMIF($B5:$B6,"nem kötelező",W5:W6)</f>
        <v>0</v>
      </c>
      <c r="X9" s="144">
        <f t="shared" si="32"/>
        <v>0</v>
      </c>
      <c r="Y9" s="144">
        <f t="shared" si="25"/>
        <v>0</v>
      </c>
      <c r="Z9" s="144">
        <f t="shared" ref="Z9:AA9" si="33">SUMIF($B5:$B6,"nem kötelező",Z5:Z6)</f>
        <v>0</v>
      </c>
      <c r="AA9" s="144">
        <f t="shared" si="33"/>
        <v>0</v>
      </c>
      <c r="AB9" s="144">
        <f t="shared" si="25"/>
        <v>0</v>
      </c>
      <c r="AC9" s="144">
        <f t="shared" ref="AC9:AD9" si="34">SUMIF($B5:$B6,"nem kötelező",AC5:AC6)</f>
        <v>0</v>
      </c>
      <c r="AD9" s="144">
        <f t="shared" si="34"/>
        <v>0</v>
      </c>
      <c r="AE9" s="144">
        <f t="shared" si="25"/>
        <v>170</v>
      </c>
      <c r="AF9" s="144">
        <f t="shared" ref="AF9:AH9" si="35">SUMIF($B5:$B6,"nem kötelező",AF5:AF6)</f>
        <v>170</v>
      </c>
      <c r="AG9" s="144">
        <f t="shared" si="35"/>
        <v>45</v>
      </c>
      <c r="AH9" s="144">
        <f t="shared" si="35"/>
        <v>170</v>
      </c>
      <c r="AI9" s="144">
        <f t="shared" ref="AI9" si="36">SUMIF($B5:$B6,"nem kötelező",AI5:AI6)</f>
        <v>0</v>
      </c>
      <c r="AJ9" s="272">
        <f t="shared" si="1"/>
        <v>0</v>
      </c>
    </row>
    <row r="10" spans="1:36" x14ac:dyDescent="0.25">
      <c r="A10" s="71">
        <v>9</v>
      </c>
      <c r="B10" s="90"/>
      <c r="C10" s="91" t="s">
        <v>301</v>
      </c>
      <c r="D10" s="86"/>
      <c r="E10" s="86"/>
      <c r="F10" s="86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>
        <v>23</v>
      </c>
      <c r="AF10" s="93">
        <v>23</v>
      </c>
      <c r="AG10" s="93">
        <v>23</v>
      </c>
      <c r="AH10" s="93">
        <v>23</v>
      </c>
      <c r="AI10" s="317">
        <v>22.97</v>
      </c>
      <c r="AJ10" s="273">
        <f t="shared" si="1"/>
        <v>0.99869565217391298</v>
      </c>
    </row>
    <row r="11" spans="1:36" x14ac:dyDescent="0.25">
      <c r="A11" s="71">
        <v>10</v>
      </c>
      <c r="B11" s="90"/>
      <c r="C11" s="81" t="s">
        <v>296</v>
      </c>
      <c r="D11" s="86"/>
      <c r="E11" s="86"/>
      <c r="F11" s="86"/>
      <c r="G11" s="92"/>
      <c r="H11" s="92"/>
      <c r="I11" s="92"/>
      <c r="J11" s="86"/>
      <c r="K11" s="86"/>
      <c r="L11" s="86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80"/>
    </row>
  </sheetData>
  <mergeCells count="12">
    <mergeCell ref="V1:AE1"/>
    <mergeCell ref="D3:F3"/>
    <mergeCell ref="G3:I3"/>
    <mergeCell ref="J3:L3"/>
    <mergeCell ref="M3:O3"/>
    <mergeCell ref="AE3:AJ3"/>
    <mergeCell ref="C2:AJ2"/>
    <mergeCell ref="P3:R3"/>
    <mergeCell ref="S3:U3"/>
    <mergeCell ref="V3:X3"/>
    <mergeCell ref="Y3:AA3"/>
    <mergeCell ref="AB3:AD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7"/>
  <sheetViews>
    <sheetView view="pageBreakPreview" zoomScaleNormal="100" zoomScaleSheetLayoutView="100" workbookViewId="0">
      <pane xSplit="3" ySplit="4" topLeftCell="AA5" activePane="bottomRight" state="frozen"/>
      <selection pane="topRight" activeCell="D1" sqref="D1"/>
      <selection pane="bottomLeft" activeCell="A5" sqref="A5"/>
      <selection pane="bottomRight" activeCell="AI17" sqref="AI17"/>
    </sheetView>
  </sheetViews>
  <sheetFormatPr defaultRowHeight="15" x14ac:dyDescent="0.25"/>
  <cols>
    <col min="1" max="1" width="5.5703125" style="72" customWidth="1"/>
    <col min="2" max="2" width="14" style="89" customWidth="1"/>
    <col min="3" max="3" width="29.28515625" style="72" customWidth="1"/>
    <col min="4" max="18" width="12.28515625" style="72" customWidth="1"/>
    <col min="19" max="21" width="14.28515625" style="72" customWidth="1"/>
    <col min="22" max="31" width="12.28515625" style="72" customWidth="1"/>
    <col min="32" max="32" width="11.85546875" style="83" hidden="1" customWidth="1"/>
    <col min="33" max="33" width="12" style="72" hidden="1" customWidth="1"/>
    <col min="34" max="35" width="11.28515625" style="72" bestFit="1" customWidth="1"/>
    <col min="36" max="16384" width="9.140625" style="72"/>
  </cols>
  <sheetData>
    <row r="1" spans="1:36" x14ac:dyDescent="0.25">
      <c r="V1" s="589" t="s">
        <v>427</v>
      </c>
      <c r="W1" s="589"/>
      <c r="X1" s="589"/>
      <c r="Y1" s="589"/>
      <c r="Z1" s="589"/>
      <c r="AA1" s="589"/>
      <c r="AB1" s="589"/>
      <c r="AC1" s="589"/>
      <c r="AD1" s="589"/>
      <c r="AE1" s="589"/>
    </row>
    <row r="2" spans="1:36" ht="56.25" customHeight="1" x14ac:dyDescent="0.25">
      <c r="A2" s="71">
        <v>1</v>
      </c>
      <c r="B2" s="84"/>
      <c r="C2" s="590" t="s">
        <v>549</v>
      </c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</row>
    <row r="3" spans="1:36" ht="93" customHeight="1" x14ac:dyDescent="0.25">
      <c r="A3" s="71">
        <v>2</v>
      </c>
      <c r="B3" s="73" t="s">
        <v>255</v>
      </c>
      <c r="C3" s="242" t="s">
        <v>199</v>
      </c>
      <c r="D3" s="591" t="s">
        <v>91</v>
      </c>
      <c r="E3" s="592"/>
      <c r="F3" s="593"/>
      <c r="G3" s="591" t="s">
        <v>270</v>
      </c>
      <c r="H3" s="592"/>
      <c r="I3" s="593"/>
      <c r="J3" s="591" t="s">
        <v>93</v>
      </c>
      <c r="K3" s="592"/>
      <c r="L3" s="593"/>
      <c r="M3" s="591" t="s">
        <v>271</v>
      </c>
      <c r="N3" s="592"/>
      <c r="O3" s="593"/>
      <c r="P3" s="591" t="s">
        <v>310</v>
      </c>
      <c r="Q3" s="592"/>
      <c r="R3" s="593"/>
      <c r="S3" s="591" t="s">
        <v>109</v>
      </c>
      <c r="T3" s="592"/>
      <c r="U3" s="593"/>
      <c r="V3" s="591" t="s">
        <v>112</v>
      </c>
      <c r="W3" s="592"/>
      <c r="X3" s="593"/>
      <c r="Y3" s="591" t="s">
        <v>274</v>
      </c>
      <c r="Z3" s="592"/>
      <c r="AA3" s="593"/>
      <c r="AB3" s="591" t="s">
        <v>294</v>
      </c>
      <c r="AC3" s="592"/>
      <c r="AD3" s="593"/>
      <c r="AE3" s="597" t="s">
        <v>242</v>
      </c>
      <c r="AF3" s="598"/>
      <c r="AG3" s="598"/>
      <c r="AH3" s="598"/>
      <c r="AI3" s="598"/>
      <c r="AJ3" s="599"/>
    </row>
    <row r="4" spans="1:36" ht="30" x14ac:dyDescent="0.25">
      <c r="A4" s="71">
        <v>3</v>
      </c>
      <c r="B4" s="84"/>
      <c r="C4" s="212" t="s">
        <v>250</v>
      </c>
      <c r="D4" s="75" t="s">
        <v>428</v>
      </c>
      <c r="E4" s="102" t="s">
        <v>406</v>
      </c>
      <c r="F4" s="102" t="s">
        <v>416</v>
      </c>
      <c r="G4" s="75" t="s">
        <v>428</v>
      </c>
      <c r="H4" s="102" t="s">
        <v>406</v>
      </c>
      <c r="I4" s="102" t="s">
        <v>416</v>
      </c>
      <c r="J4" s="75" t="s">
        <v>428</v>
      </c>
      <c r="K4" s="102" t="s">
        <v>406</v>
      </c>
      <c r="L4" s="102" t="s">
        <v>416</v>
      </c>
      <c r="M4" s="75" t="s">
        <v>428</v>
      </c>
      <c r="N4" s="102" t="s">
        <v>406</v>
      </c>
      <c r="O4" s="102" t="s">
        <v>416</v>
      </c>
      <c r="P4" s="75" t="s">
        <v>428</v>
      </c>
      <c r="Q4" s="102" t="s">
        <v>406</v>
      </c>
      <c r="R4" s="102" t="s">
        <v>416</v>
      </c>
      <c r="S4" s="75" t="s">
        <v>428</v>
      </c>
      <c r="T4" s="102" t="s">
        <v>406</v>
      </c>
      <c r="U4" s="102" t="s">
        <v>416</v>
      </c>
      <c r="V4" s="75" t="s">
        <v>428</v>
      </c>
      <c r="W4" s="102" t="s">
        <v>406</v>
      </c>
      <c r="X4" s="102" t="s">
        <v>416</v>
      </c>
      <c r="Y4" s="75" t="s">
        <v>428</v>
      </c>
      <c r="Z4" s="102" t="s">
        <v>406</v>
      </c>
      <c r="AA4" s="102" t="s">
        <v>416</v>
      </c>
      <c r="AB4" s="75" t="s">
        <v>428</v>
      </c>
      <c r="AC4" s="102" t="s">
        <v>406</v>
      </c>
      <c r="AD4" s="102" t="s">
        <v>416</v>
      </c>
      <c r="AE4" s="75" t="s">
        <v>428</v>
      </c>
      <c r="AF4" s="51" t="s">
        <v>251</v>
      </c>
      <c r="AG4" s="211" t="s">
        <v>297</v>
      </c>
      <c r="AH4" s="102" t="s">
        <v>406</v>
      </c>
      <c r="AI4" s="102" t="s">
        <v>416</v>
      </c>
      <c r="AJ4" s="102" t="s">
        <v>417</v>
      </c>
    </row>
    <row r="5" spans="1:36" x14ac:dyDescent="0.25">
      <c r="A5" s="71">
        <v>4</v>
      </c>
      <c r="B5" s="84" t="s">
        <v>207</v>
      </c>
      <c r="C5" s="85" t="s">
        <v>344</v>
      </c>
      <c r="D5" s="141">
        <v>9919</v>
      </c>
      <c r="E5" s="141">
        <v>10831.73</v>
      </c>
      <c r="F5" s="141">
        <v>7289.9170000000004</v>
      </c>
      <c r="G5" s="141">
        <v>1784</v>
      </c>
      <c r="H5" s="141">
        <v>1913.5830000000001</v>
      </c>
      <c r="I5" s="141">
        <v>1150.617</v>
      </c>
      <c r="J5" s="141">
        <v>4268</v>
      </c>
      <c r="K5" s="141">
        <v>4362.2039999999997</v>
      </c>
      <c r="L5" s="141">
        <v>2914.3560000000002</v>
      </c>
      <c r="M5" s="141"/>
      <c r="N5" s="141"/>
      <c r="O5" s="141"/>
      <c r="P5" s="141"/>
      <c r="Q5" s="141"/>
      <c r="R5" s="141"/>
      <c r="S5" s="141">
        <v>127</v>
      </c>
      <c r="T5" s="141">
        <v>227</v>
      </c>
      <c r="U5" s="141">
        <v>99.713999999999999</v>
      </c>
      <c r="V5" s="141"/>
      <c r="W5" s="141"/>
      <c r="X5" s="141"/>
      <c r="Y5" s="141"/>
      <c r="Z5" s="141"/>
      <c r="AA5" s="141"/>
      <c r="AB5" s="141"/>
      <c r="AC5" s="141"/>
      <c r="AD5" s="141"/>
      <c r="AE5" s="143">
        <f>AB5+Y5+V5+S5+P5+M5+J5+G5+D5</f>
        <v>16098</v>
      </c>
      <c r="AF5" s="143">
        <f>AC5+Z5+W5+T5+Q5+N5+K5+H5+E5</f>
        <v>17334.517</v>
      </c>
      <c r="AG5" s="143">
        <f t="shared" ref="AG5" si="0">AE5+AB5+Y5+V5+S5+P5+M5+J5+G5</f>
        <v>22277</v>
      </c>
      <c r="AH5" s="143">
        <f>E5+H5+K5+N5+Q5+T5+W5+Z5+AC5</f>
        <v>17334.517</v>
      </c>
      <c r="AI5" s="131">
        <f>F5+I5+L5+O5+R5+U5+X5+AA5+AD5</f>
        <v>11454.603999999999</v>
      </c>
      <c r="AJ5" s="273">
        <f>AI5/AH5</f>
        <v>0.66079741362277356</v>
      </c>
    </row>
    <row r="6" spans="1:36" x14ac:dyDescent="0.25">
      <c r="A6" s="71">
        <v>6</v>
      </c>
      <c r="B6" s="84" t="s">
        <v>213</v>
      </c>
      <c r="C6" s="85" t="s">
        <v>345</v>
      </c>
      <c r="D6" s="141"/>
      <c r="E6" s="141"/>
      <c r="F6" s="141"/>
      <c r="G6" s="141"/>
      <c r="H6" s="141"/>
      <c r="I6" s="141"/>
      <c r="J6" s="141">
        <v>75</v>
      </c>
      <c r="K6" s="141">
        <v>75</v>
      </c>
      <c r="L6" s="141">
        <v>22.23</v>
      </c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3">
        <f t="shared" ref="AE6:AE12" si="1">AB6+Y6+V6+S6+P6+M6+J6+G6+D6</f>
        <v>75</v>
      </c>
      <c r="AF6" s="87">
        <v>173</v>
      </c>
      <c r="AG6" s="194">
        <v>211</v>
      </c>
      <c r="AH6" s="143">
        <f t="shared" ref="AH6:AI12" si="2">E6+H6+K6+N6+Q6+T6+W6+Z6+AC6</f>
        <v>75</v>
      </c>
      <c r="AI6" s="131">
        <f t="shared" si="2"/>
        <v>22.23</v>
      </c>
      <c r="AJ6" s="273">
        <f t="shared" ref="AJ6:AJ16" si="3">AI6/AH6</f>
        <v>0.2964</v>
      </c>
    </row>
    <row r="7" spans="1:36" x14ac:dyDescent="0.25">
      <c r="A7" s="71">
        <v>7</v>
      </c>
      <c r="B7" s="84" t="s">
        <v>213</v>
      </c>
      <c r="C7" s="85" t="s">
        <v>346</v>
      </c>
      <c r="D7" s="141"/>
      <c r="E7" s="141"/>
      <c r="F7" s="141"/>
      <c r="G7" s="141"/>
      <c r="H7" s="141"/>
      <c r="I7" s="141"/>
      <c r="J7" s="141">
        <v>1028</v>
      </c>
      <c r="K7" s="141">
        <v>1028</v>
      </c>
      <c r="L7" s="141">
        <v>709.16800000000001</v>
      </c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3">
        <f t="shared" si="1"/>
        <v>1028</v>
      </c>
      <c r="AF7" s="87">
        <v>3044</v>
      </c>
      <c r="AG7" s="194">
        <v>2528</v>
      </c>
      <c r="AH7" s="143">
        <f t="shared" si="2"/>
        <v>1028</v>
      </c>
      <c r="AI7" s="143">
        <f t="shared" si="2"/>
        <v>709.16800000000001</v>
      </c>
      <c r="AJ7" s="273">
        <f t="shared" si="3"/>
        <v>0.68985214007782103</v>
      </c>
    </row>
    <row r="8" spans="1:36" x14ac:dyDescent="0.25">
      <c r="A8" s="71">
        <v>8</v>
      </c>
      <c r="B8" s="84" t="s">
        <v>213</v>
      </c>
      <c r="C8" s="85" t="s">
        <v>347</v>
      </c>
      <c r="D8" s="141">
        <v>1389</v>
      </c>
      <c r="E8" s="141">
        <v>1389</v>
      </c>
      <c r="F8" s="141">
        <v>6.2910000000000004</v>
      </c>
      <c r="G8" s="141">
        <v>527</v>
      </c>
      <c r="H8" s="141">
        <v>527</v>
      </c>
      <c r="I8" s="141"/>
      <c r="J8" s="141">
        <v>774</v>
      </c>
      <c r="K8" s="141">
        <v>774</v>
      </c>
      <c r="L8" s="141">
        <v>67.778000000000006</v>
      </c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3">
        <f t="shared" si="1"/>
        <v>2690</v>
      </c>
      <c r="AF8" s="87">
        <v>6614</v>
      </c>
      <c r="AG8" s="194">
        <v>6801</v>
      </c>
      <c r="AH8" s="143">
        <f t="shared" si="2"/>
        <v>2690</v>
      </c>
      <c r="AI8" s="143">
        <f t="shared" si="2"/>
        <v>74.069000000000003</v>
      </c>
      <c r="AJ8" s="273">
        <f t="shared" si="3"/>
        <v>2.7534944237918215E-2</v>
      </c>
    </row>
    <row r="9" spans="1:36" x14ac:dyDescent="0.25">
      <c r="A9" s="71">
        <v>9</v>
      </c>
      <c r="B9" s="84" t="s">
        <v>213</v>
      </c>
      <c r="C9" s="85" t="s">
        <v>449</v>
      </c>
      <c r="D9" s="141">
        <v>74</v>
      </c>
      <c r="E9" s="141">
        <v>74</v>
      </c>
      <c r="F9" s="141"/>
      <c r="G9" s="141"/>
      <c r="H9" s="141"/>
      <c r="I9" s="141"/>
      <c r="J9" s="141">
        <v>140</v>
      </c>
      <c r="K9" s="141">
        <v>140</v>
      </c>
      <c r="L9" s="141">
        <v>12.88</v>
      </c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3">
        <f t="shared" si="1"/>
        <v>214</v>
      </c>
      <c r="AF9" s="87">
        <v>480</v>
      </c>
      <c r="AG9" s="194">
        <v>480</v>
      </c>
      <c r="AH9" s="143">
        <f t="shared" si="2"/>
        <v>214</v>
      </c>
      <c r="AI9" s="143">
        <f t="shared" si="2"/>
        <v>12.88</v>
      </c>
      <c r="AJ9" s="273">
        <f t="shared" si="3"/>
        <v>6.0186915887850474E-2</v>
      </c>
    </row>
    <row r="10" spans="1:36" x14ac:dyDescent="0.25">
      <c r="A10" s="71"/>
      <c r="B10" s="84" t="s">
        <v>213</v>
      </c>
      <c r="C10" s="85" t="s">
        <v>450</v>
      </c>
      <c r="D10" s="141"/>
      <c r="E10" s="141"/>
      <c r="F10" s="141"/>
      <c r="G10" s="141"/>
      <c r="H10" s="141"/>
      <c r="I10" s="141"/>
      <c r="J10" s="141">
        <v>15158</v>
      </c>
      <c r="K10" s="141">
        <v>15158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3">
        <f t="shared" si="1"/>
        <v>15158</v>
      </c>
      <c r="AF10" s="87"/>
      <c r="AG10" s="194"/>
      <c r="AH10" s="143">
        <f t="shared" si="2"/>
        <v>15158</v>
      </c>
      <c r="AI10" s="143">
        <f t="shared" si="2"/>
        <v>0</v>
      </c>
      <c r="AJ10" s="273">
        <f t="shared" si="3"/>
        <v>0</v>
      </c>
    </row>
    <row r="11" spans="1:36" x14ac:dyDescent="0.25">
      <c r="A11" s="71"/>
      <c r="B11" s="84" t="s">
        <v>213</v>
      </c>
      <c r="C11" s="85" t="s">
        <v>460</v>
      </c>
      <c r="D11" s="141"/>
      <c r="E11" s="141"/>
      <c r="F11" s="141">
        <v>393.61</v>
      </c>
      <c r="G11" s="141"/>
      <c r="H11" s="141"/>
      <c r="I11" s="141">
        <v>42.47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3"/>
      <c r="AF11" s="87"/>
      <c r="AG11" s="194"/>
      <c r="AH11" s="143"/>
      <c r="AI11" s="143">
        <f t="shared" si="2"/>
        <v>436.08000000000004</v>
      </c>
      <c r="AJ11" s="273"/>
    </row>
    <row r="12" spans="1:36" x14ac:dyDescent="0.25">
      <c r="A12" s="71">
        <v>10</v>
      </c>
      <c r="B12" s="84" t="s">
        <v>213</v>
      </c>
      <c r="C12" s="85" t="s">
        <v>348</v>
      </c>
      <c r="D12" s="141">
        <v>68</v>
      </c>
      <c r="E12" s="141">
        <v>68</v>
      </c>
      <c r="F12" s="141">
        <v>104.755</v>
      </c>
      <c r="G12" s="141"/>
      <c r="H12" s="141"/>
      <c r="I12" s="141">
        <v>53.222000000000001</v>
      </c>
      <c r="J12" s="141">
        <v>10924</v>
      </c>
      <c r="K12" s="141">
        <v>10924</v>
      </c>
      <c r="L12" s="141">
        <v>9208.8150000000005</v>
      </c>
      <c r="M12" s="141"/>
      <c r="N12" s="141"/>
      <c r="O12" s="141"/>
      <c r="P12" s="141"/>
      <c r="Q12" s="141"/>
      <c r="R12" s="141"/>
      <c r="S12" s="141"/>
      <c r="T12" s="141"/>
      <c r="U12" s="141">
        <v>63.5</v>
      </c>
      <c r="V12" s="141"/>
      <c r="W12" s="141"/>
      <c r="X12" s="141"/>
      <c r="Y12" s="141"/>
      <c r="Z12" s="141"/>
      <c r="AA12" s="141"/>
      <c r="AB12" s="141"/>
      <c r="AC12" s="141"/>
      <c r="AD12" s="141"/>
      <c r="AE12" s="143">
        <f t="shared" si="1"/>
        <v>10992</v>
      </c>
      <c r="AF12" s="87"/>
      <c r="AG12" s="194"/>
      <c r="AH12" s="143">
        <f t="shared" si="2"/>
        <v>10992</v>
      </c>
      <c r="AI12" s="143">
        <f t="shared" si="2"/>
        <v>9430.2920000000013</v>
      </c>
      <c r="AJ12" s="273">
        <f t="shared" si="3"/>
        <v>0.85792321688500739</v>
      </c>
    </row>
    <row r="13" spans="1:36" x14ac:dyDescent="0.25">
      <c r="A13" s="71">
        <v>11</v>
      </c>
      <c r="B13" s="84"/>
      <c r="C13" s="234" t="s">
        <v>253</v>
      </c>
      <c r="D13" s="143">
        <f t="shared" ref="D13:G13" si="4">SUM(D5:D9)</f>
        <v>11382</v>
      </c>
      <c r="E13" s="143">
        <f>SUM(E5:E12)</f>
        <v>12362.73</v>
      </c>
      <c r="F13" s="508">
        <f>SUM(F5:F12)</f>
        <v>7794.5730000000003</v>
      </c>
      <c r="G13" s="143">
        <f t="shared" si="4"/>
        <v>2311</v>
      </c>
      <c r="H13" s="143">
        <f t="shared" ref="H13" si="5">SUM(H5:H9)</f>
        <v>2440.5830000000001</v>
      </c>
      <c r="I13" s="508">
        <f>SUM(I5:I12)</f>
        <v>1246.309</v>
      </c>
      <c r="J13" s="143">
        <f>SUM(J5:J12)</f>
        <v>32367</v>
      </c>
      <c r="K13" s="143">
        <f>SUM(K5:K12)</f>
        <v>32461.203999999998</v>
      </c>
      <c r="L13" s="508">
        <f t="shared" ref="L13:AH13" si="6">SUM(L5:L12)</f>
        <v>12935.227000000001</v>
      </c>
      <c r="M13" s="143">
        <f t="shared" si="6"/>
        <v>0</v>
      </c>
      <c r="N13" s="143">
        <f t="shared" si="6"/>
        <v>0</v>
      </c>
      <c r="O13" s="143">
        <f t="shared" si="6"/>
        <v>0</v>
      </c>
      <c r="P13" s="143">
        <f t="shared" si="6"/>
        <v>0</v>
      </c>
      <c r="Q13" s="143">
        <f t="shared" si="6"/>
        <v>0</v>
      </c>
      <c r="R13" s="143">
        <f t="shared" si="6"/>
        <v>0</v>
      </c>
      <c r="S13" s="143">
        <f t="shared" si="6"/>
        <v>127</v>
      </c>
      <c r="T13" s="143">
        <f t="shared" si="6"/>
        <v>227</v>
      </c>
      <c r="U13" s="508">
        <f t="shared" si="6"/>
        <v>163.214</v>
      </c>
      <c r="V13" s="143">
        <f t="shared" si="6"/>
        <v>0</v>
      </c>
      <c r="W13" s="143">
        <f t="shared" si="6"/>
        <v>0</v>
      </c>
      <c r="X13" s="143">
        <f t="shared" si="6"/>
        <v>0</v>
      </c>
      <c r="Y13" s="143">
        <f t="shared" si="6"/>
        <v>0</v>
      </c>
      <c r="Z13" s="143">
        <f t="shared" si="6"/>
        <v>0</v>
      </c>
      <c r="AA13" s="143">
        <f t="shared" si="6"/>
        <v>0</v>
      </c>
      <c r="AB13" s="143">
        <f t="shared" si="6"/>
        <v>0</v>
      </c>
      <c r="AC13" s="143">
        <f t="shared" si="6"/>
        <v>0</v>
      </c>
      <c r="AD13" s="143">
        <f t="shared" si="6"/>
        <v>0</v>
      </c>
      <c r="AE13" s="143">
        <f t="shared" si="6"/>
        <v>46255</v>
      </c>
      <c r="AF13" s="143">
        <f t="shared" si="6"/>
        <v>27645.517</v>
      </c>
      <c r="AG13" s="143">
        <f t="shared" si="6"/>
        <v>32297</v>
      </c>
      <c r="AH13" s="143">
        <f t="shared" si="6"/>
        <v>47491.517</v>
      </c>
      <c r="AI13" s="508">
        <f>SUM(AI5:AI12)</f>
        <v>22139.322999999997</v>
      </c>
      <c r="AJ13" s="273">
        <f t="shared" si="3"/>
        <v>0.46617426434282982</v>
      </c>
    </row>
    <row r="14" spans="1:36" x14ac:dyDescent="0.25">
      <c r="A14" s="71">
        <v>12</v>
      </c>
      <c r="B14" s="84"/>
      <c r="C14" s="80" t="s">
        <v>238</v>
      </c>
      <c r="D14" s="144">
        <f>SUMIF($B5:$B12,"kötelező",D5:D12)</f>
        <v>9919</v>
      </c>
      <c r="E14" s="144">
        <f t="shared" ref="E14:AH14" si="7">SUMIF($B5:$B12,"kötelező",E5:E12)</f>
        <v>10831.73</v>
      </c>
      <c r="F14" s="144">
        <f t="shared" si="7"/>
        <v>7289.9170000000004</v>
      </c>
      <c r="G14" s="144">
        <f t="shared" si="7"/>
        <v>1784</v>
      </c>
      <c r="H14" s="144">
        <f t="shared" si="7"/>
        <v>1913.5830000000001</v>
      </c>
      <c r="I14" s="144">
        <f t="shared" si="7"/>
        <v>1150.617</v>
      </c>
      <c r="J14" s="144">
        <f t="shared" si="7"/>
        <v>4268</v>
      </c>
      <c r="K14" s="144">
        <f t="shared" si="7"/>
        <v>4362.2039999999997</v>
      </c>
      <c r="L14" s="144">
        <f t="shared" si="7"/>
        <v>2914.3560000000002</v>
      </c>
      <c r="M14" s="144">
        <f t="shared" si="7"/>
        <v>0</v>
      </c>
      <c r="N14" s="144">
        <f t="shared" si="7"/>
        <v>0</v>
      </c>
      <c r="O14" s="144">
        <f t="shared" si="7"/>
        <v>0</v>
      </c>
      <c r="P14" s="144">
        <f t="shared" si="7"/>
        <v>0</v>
      </c>
      <c r="Q14" s="144">
        <f t="shared" si="7"/>
        <v>0</v>
      </c>
      <c r="R14" s="144">
        <f t="shared" si="7"/>
        <v>0</v>
      </c>
      <c r="S14" s="144">
        <f t="shared" si="7"/>
        <v>127</v>
      </c>
      <c r="T14" s="144">
        <f t="shared" si="7"/>
        <v>227</v>
      </c>
      <c r="U14" s="144">
        <f t="shared" si="7"/>
        <v>99.713999999999999</v>
      </c>
      <c r="V14" s="144">
        <f t="shared" si="7"/>
        <v>0</v>
      </c>
      <c r="W14" s="144">
        <f t="shared" si="7"/>
        <v>0</v>
      </c>
      <c r="X14" s="144">
        <f t="shared" si="7"/>
        <v>0</v>
      </c>
      <c r="Y14" s="144">
        <f t="shared" si="7"/>
        <v>0</v>
      </c>
      <c r="Z14" s="144">
        <f t="shared" si="7"/>
        <v>0</v>
      </c>
      <c r="AA14" s="144">
        <f t="shared" si="7"/>
        <v>0</v>
      </c>
      <c r="AB14" s="144">
        <f t="shared" si="7"/>
        <v>0</v>
      </c>
      <c r="AC14" s="144">
        <f t="shared" si="7"/>
        <v>0</v>
      </c>
      <c r="AD14" s="144">
        <f t="shared" si="7"/>
        <v>0</v>
      </c>
      <c r="AE14" s="144">
        <f t="shared" si="7"/>
        <v>16098</v>
      </c>
      <c r="AF14" s="144">
        <f t="shared" si="7"/>
        <v>17334.517</v>
      </c>
      <c r="AG14" s="144">
        <f t="shared" si="7"/>
        <v>22277</v>
      </c>
      <c r="AH14" s="144">
        <f t="shared" si="7"/>
        <v>17334.517</v>
      </c>
      <c r="AI14" s="144">
        <f>SUMIF($B5:$B12,"kötelező",AI5:AI12)</f>
        <v>11454.603999999999</v>
      </c>
      <c r="AJ14" s="272">
        <f>AI14/AH14</f>
        <v>0.66079741362277356</v>
      </c>
    </row>
    <row r="15" spans="1:36" x14ac:dyDescent="0.25">
      <c r="A15" s="71">
        <v>13</v>
      </c>
      <c r="B15" s="84"/>
      <c r="C15" s="80" t="s">
        <v>239</v>
      </c>
      <c r="D15" s="144">
        <f>SUMIF($B5:$B12,"nem kötelező",D5:D12)</f>
        <v>1531</v>
      </c>
      <c r="E15" s="144">
        <f t="shared" ref="E15:AH15" si="8">SUMIF($B5:$B12,"nem kötelező",E5:E12)</f>
        <v>1531</v>
      </c>
      <c r="F15" s="144">
        <f t="shared" si="8"/>
        <v>504.65600000000001</v>
      </c>
      <c r="G15" s="144">
        <f t="shared" si="8"/>
        <v>527</v>
      </c>
      <c r="H15" s="144">
        <f t="shared" si="8"/>
        <v>527</v>
      </c>
      <c r="I15" s="144">
        <f t="shared" si="8"/>
        <v>95.692000000000007</v>
      </c>
      <c r="J15" s="144">
        <f t="shared" si="8"/>
        <v>28099</v>
      </c>
      <c r="K15" s="144">
        <f t="shared" si="8"/>
        <v>28099</v>
      </c>
      <c r="L15" s="144">
        <f t="shared" si="8"/>
        <v>10020.871000000001</v>
      </c>
      <c r="M15" s="144">
        <f t="shared" si="8"/>
        <v>0</v>
      </c>
      <c r="N15" s="144">
        <f t="shared" si="8"/>
        <v>0</v>
      </c>
      <c r="O15" s="144">
        <f t="shared" si="8"/>
        <v>0</v>
      </c>
      <c r="P15" s="144">
        <f t="shared" si="8"/>
        <v>0</v>
      </c>
      <c r="Q15" s="144">
        <f t="shared" si="8"/>
        <v>0</v>
      </c>
      <c r="R15" s="144">
        <f t="shared" si="8"/>
        <v>0</v>
      </c>
      <c r="S15" s="144">
        <f t="shared" si="8"/>
        <v>0</v>
      </c>
      <c r="T15" s="144">
        <f t="shared" si="8"/>
        <v>0</v>
      </c>
      <c r="U15" s="144">
        <f t="shared" si="8"/>
        <v>63.5</v>
      </c>
      <c r="V15" s="144">
        <f t="shared" si="8"/>
        <v>0</v>
      </c>
      <c r="W15" s="144">
        <f t="shared" si="8"/>
        <v>0</v>
      </c>
      <c r="X15" s="144">
        <f t="shared" si="8"/>
        <v>0</v>
      </c>
      <c r="Y15" s="144">
        <f t="shared" si="8"/>
        <v>0</v>
      </c>
      <c r="Z15" s="144">
        <f t="shared" si="8"/>
        <v>0</v>
      </c>
      <c r="AA15" s="144">
        <f t="shared" si="8"/>
        <v>0</v>
      </c>
      <c r="AB15" s="144">
        <f t="shared" si="8"/>
        <v>0</v>
      </c>
      <c r="AC15" s="144">
        <f t="shared" si="8"/>
        <v>0</v>
      </c>
      <c r="AD15" s="144">
        <f t="shared" si="8"/>
        <v>0</v>
      </c>
      <c r="AE15" s="144">
        <f t="shared" si="8"/>
        <v>30157</v>
      </c>
      <c r="AF15" s="144">
        <f t="shared" si="8"/>
        <v>10311</v>
      </c>
      <c r="AG15" s="144">
        <f t="shared" si="8"/>
        <v>10020</v>
      </c>
      <c r="AH15" s="144">
        <f t="shared" si="8"/>
        <v>30157</v>
      </c>
      <c r="AI15" s="144">
        <f>SUMIF($B5:$B12,"nem kötelező",AI5:AI12)</f>
        <v>10684.719000000001</v>
      </c>
      <c r="AJ15" s="272">
        <f t="shared" si="3"/>
        <v>0.35430311370494416</v>
      </c>
    </row>
    <row r="16" spans="1:36" x14ac:dyDescent="0.25">
      <c r="A16" s="71">
        <v>14</v>
      </c>
      <c r="B16" s="84"/>
      <c r="C16" s="80" t="s">
        <v>299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8">
        <v>5</v>
      </c>
      <c r="AF16" s="87"/>
      <c r="AH16" s="317">
        <v>5</v>
      </c>
      <c r="AI16" s="535">
        <v>4.2</v>
      </c>
      <c r="AJ16" s="273">
        <f t="shared" si="3"/>
        <v>0.84000000000000008</v>
      </c>
    </row>
    <row r="17" spans="1:36" x14ac:dyDescent="0.25">
      <c r="A17" s="71">
        <v>15</v>
      </c>
      <c r="B17" s="84"/>
      <c r="C17" s="80" t="s">
        <v>296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>
        <v>0</v>
      </c>
      <c r="AF17" s="87">
        <v>0</v>
      </c>
      <c r="AG17" s="87">
        <v>0</v>
      </c>
      <c r="AH17" s="87">
        <v>0</v>
      </c>
      <c r="AI17" s="534">
        <v>3</v>
      </c>
      <c r="AJ17" s="80"/>
    </row>
  </sheetData>
  <mergeCells count="12">
    <mergeCell ref="V1:AE1"/>
    <mergeCell ref="C2:AJ2"/>
    <mergeCell ref="D3:F3"/>
    <mergeCell ref="G3:I3"/>
    <mergeCell ref="J3:L3"/>
    <mergeCell ref="AB3:AD3"/>
    <mergeCell ref="AE3:AJ3"/>
    <mergeCell ref="M3:O3"/>
    <mergeCell ref="P3:R3"/>
    <mergeCell ref="S3:U3"/>
    <mergeCell ref="V3:X3"/>
    <mergeCell ref="Y3:AA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2"/>
  <sheetViews>
    <sheetView tabSelected="1" topLeftCell="A10" workbookViewId="0">
      <selection activeCell="A14" sqref="A14"/>
    </sheetView>
  </sheetViews>
  <sheetFormatPr defaultRowHeight="15.75" x14ac:dyDescent="0.25"/>
  <cols>
    <col min="1" max="1" width="52.7109375" style="2" customWidth="1"/>
    <col min="2" max="2" width="14.42578125" style="2" customWidth="1"/>
    <col min="3" max="3" width="19" style="116" customWidth="1"/>
    <col min="4" max="4" width="12" style="2" customWidth="1"/>
    <col min="5" max="5" width="12.42578125" style="2" bestFit="1" customWidth="1"/>
    <col min="6" max="7" width="12.42578125" style="231" customWidth="1"/>
    <col min="8" max="8" width="12.85546875" style="2" customWidth="1"/>
    <col min="9" max="16384" width="9.140625" style="2"/>
  </cols>
  <sheetData>
    <row r="1" spans="1:8" x14ac:dyDescent="0.25">
      <c r="A1" s="549" t="s">
        <v>429</v>
      </c>
      <c r="B1" s="549"/>
      <c r="C1" s="549"/>
      <c r="D1" s="549"/>
      <c r="E1" s="549"/>
      <c r="F1" s="549"/>
      <c r="G1" s="549"/>
      <c r="H1" s="549"/>
    </row>
    <row r="3" spans="1:8" s="40" customFormat="1" ht="29.25" customHeight="1" x14ac:dyDescent="0.25">
      <c r="A3" s="601" t="s">
        <v>550</v>
      </c>
      <c r="B3" s="602"/>
      <c r="C3" s="602"/>
      <c r="D3" s="602"/>
      <c r="E3" s="602"/>
      <c r="F3" s="602"/>
      <c r="G3" s="602"/>
      <c r="H3" s="602"/>
    </row>
    <row r="4" spans="1:8" ht="16.5" thickBot="1" x14ac:dyDescent="0.3">
      <c r="E4" s="549" t="s">
        <v>343</v>
      </c>
      <c r="F4" s="549"/>
      <c r="G4" s="549"/>
      <c r="H4" s="549"/>
    </row>
    <row r="5" spans="1:8" s="40" customFormat="1" ht="48" thickBot="1" x14ac:dyDescent="0.3">
      <c r="A5" s="43" t="s">
        <v>189</v>
      </c>
      <c r="B5" s="41" t="s">
        <v>190</v>
      </c>
      <c r="C5" s="44" t="s">
        <v>191</v>
      </c>
      <c r="D5" s="44" t="s">
        <v>528</v>
      </c>
      <c r="E5" s="44" t="s">
        <v>391</v>
      </c>
      <c r="F5" s="225" t="s">
        <v>430</v>
      </c>
      <c r="G5" s="225" t="s">
        <v>431</v>
      </c>
      <c r="H5" s="42" t="s">
        <v>432</v>
      </c>
    </row>
    <row r="6" spans="1:8" s="114" customFormat="1" x14ac:dyDescent="0.25">
      <c r="A6" s="120" t="s">
        <v>473</v>
      </c>
      <c r="B6" s="31"/>
      <c r="C6" s="31"/>
      <c r="D6" s="31"/>
      <c r="E6" s="31"/>
      <c r="F6" s="31"/>
      <c r="G6" s="226"/>
      <c r="H6" s="31"/>
    </row>
    <row r="7" spans="1:8" x14ac:dyDescent="0.25">
      <c r="A7" s="122" t="s">
        <v>474</v>
      </c>
      <c r="B7" s="161"/>
      <c r="C7" s="32"/>
      <c r="D7" s="161"/>
      <c r="E7" s="161"/>
      <c r="F7" s="161"/>
      <c r="G7" s="227"/>
      <c r="H7" s="115"/>
    </row>
    <row r="8" spans="1:8" x14ac:dyDescent="0.25">
      <c r="A8" s="8" t="s">
        <v>557</v>
      </c>
      <c r="B8" s="161">
        <v>96</v>
      </c>
      <c r="C8" s="32">
        <v>2018</v>
      </c>
      <c r="D8" s="161">
        <v>0</v>
      </c>
      <c r="E8" s="161">
        <v>96</v>
      </c>
      <c r="F8" s="161">
        <v>96</v>
      </c>
      <c r="G8" s="227">
        <v>90</v>
      </c>
      <c r="H8" s="115">
        <f>B8-D8-E8</f>
        <v>0</v>
      </c>
    </row>
    <row r="9" spans="1:8" x14ac:dyDescent="0.25">
      <c r="A9" s="493" t="s">
        <v>475</v>
      </c>
      <c r="B9" s="162">
        <v>115</v>
      </c>
      <c r="C9" s="32">
        <v>2018</v>
      </c>
      <c r="D9" s="161">
        <v>0</v>
      </c>
      <c r="E9" s="162">
        <v>115</v>
      </c>
      <c r="F9" s="162">
        <v>115</v>
      </c>
      <c r="G9" s="227">
        <v>109.99</v>
      </c>
      <c r="H9" s="115">
        <v>0</v>
      </c>
    </row>
    <row r="10" spans="1:8" x14ac:dyDescent="0.25">
      <c r="A10" s="8" t="s">
        <v>476</v>
      </c>
      <c r="B10" s="162">
        <v>254</v>
      </c>
      <c r="C10" s="32">
        <v>2018</v>
      </c>
      <c r="D10" s="161">
        <v>0</v>
      </c>
      <c r="E10" s="162">
        <v>254</v>
      </c>
      <c r="F10" s="162">
        <v>254</v>
      </c>
      <c r="G10" s="227"/>
      <c r="H10" s="115">
        <v>0</v>
      </c>
    </row>
    <row r="11" spans="1:8" x14ac:dyDescent="0.25">
      <c r="A11" s="8" t="s">
        <v>477</v>
      </c>
      <c r="B11" s="162">
        <v>122</v>
      </c>
      <c r="C11" s="32">
        <v>2018</v>
      </c>
      <c r="D11" s="161">
        <v>0</v>
      </c>
      <c r="E11" s="162">
        <v>122</v>
      </c>
      <c r="F11" s="162">
        <v>122</v>
      </c>
      <c r="G11" s="227">
        <v>113.03</v>
      </c>
      <c r="H11" s="115">
        <v>0</v>
      </c>
    </row>
    <row r="12" spans="1:8" x14ac:dyDescent="0.25">
      <c r="A12" s="8" t="s">
        <v>478</v>
      </c>
      <c r="B12" s="162">
        <v>32</v>
      </c>
      <c r="C12" s="32">
        <v>2018</v>
      </c>
      <c r="D12" s="161">
        <v>0</v>
      </c>
      <c r="E12" s="162">
        <v>32</v>
      </c>
      <c r="F12" s="162">
        <v>32</v>
      </c>
      <c r="G12" s="227">
        <v>15</v>
      </c>
      <c r="H12" s="115">
        <v>0</v>
      </c>
    </row>
    <row r="13" spans="1:8" x14ac:dyDescent="0.25">
      <c r="A13" s="8" t="s">
        <v>571</v>
      </c>
      <c r="B13" s="162"/>
      <c r="C13" s="32"/>
      <c r="D13" s="161"/>
      <c r="E13" s="162"/>
      <c r="F13" s="162"/>
      <c r="G13" s="227">
        <v>3.55</v>
      </c>
      <c r="H13" s="115"/>
    </row>
    <row r="14" spans="1:8" x14ac:dyDescent="0.25">
      <c r="A14" s="8" t="s">
        <v>558</v>
      </c>
      <c r="B14" s="162"/>
      <c r="C14" s="32"/>
      <c r="D14" s="161"/>
      <c r="E14" s="162"/>
      <c r="F14" s="162"/>
      <c r="G14" s="227">
        <v>20.827999999999999</v>
      </c>
      <c r="H14" s="115"/>
    </row>
    <row r="15" spans="1:8" x14ac:dyDescent="0.25">
      <c r="A15" s="8" t="s">
        <v>479</v>
      </c>
      <c r="B15" s="162">
        <v>46</v>
      </c>
      <c r="C15" s="32">
        <v>2018</v>
      </c>
      <c r="D15" s="161">
        <v>0</v>
      </c>
      <c r="E15" s="162">
        <v>46</v>
      </c>
      <c r="F15" s="162">
        <v>46</v>
      </c>
      <c r="G15" s="227">
        <v>23.998999999999999</v>
      </c>
      <c r="H15" s="115">
        <v>0</v>
      </c>
    </row>
    <row r="16" spans="1:8" x14ac:dyDescent="0.25">
      <c r="A16" s="8" t="s">
        <v>480</v>
      </c>
      <c r="B16" s="162">
        <v>761</v>
      </c>
      <c r="C16" s="32">
        <v>2018</v>
      </c>
      <c r="D16" s="161">
        <v>0</v>
      </c>
      <c r="E16" s="162">
        <v>761</v>
      </c>
      <c r="F16" s="162">
        <v>761</v>
      </c>
      <c r="G16" s="227"/>
      <c r="H16" s="115">
        <v>0</v>
      </c>
    </row>
    <row r="17" spans="1:8" x14ac:dyDescent="0.25">
      <c r="A17" s="8" t="s">
        <v>559</v>
      </c>
      <c r="B17" s="162"/>
      <c r="C17" s="32"/>
      <c r="D17" s="161"/>
      <c r="E17" s="162"/>
      <c r="F17" s="162"/>
      <c r="G17" s="227">
        <v>35.700000000000003</v>
      </c>
      <c r="H17" s="115"/>
    </row>
    <row r="18" spans="1:8" x14ac:dyDescent="0.25">
      <c r="A18" s="4" t="s">
        <v>481</v>
      </c>
      <c r="B18" s="162">
        <v>312</v>
      </c>
      <c r="C18" s="32">
        <v>2018</v>
      </c>
      <c r="D18" s="161">
        <v>0</v>
      </c>
      <c r="E18" s="162">
        <v>312</v>
      </c>
      <c r="F18" s="162">
        <v>312</v>
      </c>
      <c r="G18" s="227">
        <v>279.89999999999998</v>
      </c>
      <c r="H18" s="115">
        <v>0</v>
      </c>
    </row>
    <row r="19" spans="1:8" x14ac:dyDescent="0.25">
      <c r="A19" s="117" t="s">
        <v>482</v>
      </c>
      <c r="B19" s="162"/>
      <c r="C19" s="31"/>
      <c r="D19" s="162"/>
      <c r="E19" s="162"/>
      <c r="F19" s="162"/>
      <c r="G19" s="227"/>
      <c r="H19" s="115"/>
    </row>
    <row r="20" spans="1:8" x14ac:dyDescent="0.25">
      <c r="A20" s="4" t="s">
        <v>483</v>
      </c>
      <c r="B20" s="162">
        <v>78</v>
      </c>
      <c r="C20" s="32">
        <v>2018</v>
      </c>
      <c r="D20" s="161">
        <v>0</v>
      </c>
      <c r="E20" s="162">
        <v>78</v>
      </c>
      <c r="F20" s="162">
        <v>78</v>
      </c>
      <c r="G20" s="227">
        <v>77.900000000000006</v>
      </c>
      <c r="H20" s="115">
        <v>0</v>
      </c>
    </row>
    <row r="21" spans="1:8" x14ac:dyDescent="0.25">
      <c r="A21" s="4" t="s">
        <v>484</v>
      </c>
      <c r="B21" s="162">
        <v>60</v>
      </c>
      <c r="C21" s="32">
        <v>2018</v>
      </c>
      <c r="D21" s="161">
        <v>0</v>
      </c>
      <c r="E21" s="162">
        <v>60</v>
      </c>
      <c r="F21" s="162">
        <v>60</v>
      </c>
      <c r="G21" s="227">
        <v>57.902000000000001</v>
      </c>
      <c r="H21" s="115">
        <v>0</v>
      </c>
    </row>
    <row r="22" spans="1:8" x14ac:dyDescent="0.25">
      <c r="A22" s="493" t="s">
        <v>561</v>
      </c>
      <c r="B22" s="494">
        <v>31</v>
      </c>
      <c r="C22" s="32">
        <v>2018</v>
      </c>
      <c r="D22" s="161">
        <v>0</v>
      </c>
      <c r="E22" s="494">
        <v>31</v>
      </c>
      <c r="F22" s="494">
        <v>31</v>
      </c>
      <c r="G22" s="227">
        <v>22.1</v>
      </c>
      <c r="H22" s="115">
        <v>0</v>
      </c>
    </row>
    <row r="23" spans="1:8" x14ac:dyDescent="0.25">
      <c r="A23" s="4" t="s">
        <v>560</v>
      </c>
      <c r="B23" s="162">
        <v>26</v>
      </c>
      <c r="C23" s="32">
        <v>2018</v>
      </c>
      <c r="D23" s="161">
        <v>0</v>
      </c>
      <c r="E23" s="162">
        <v>26</v>
      </c>
      <c r="F23" s="162">
        <v>26</v>
      </c>
      <c r="G23" s="227">
        <v>25.4</v>
      </c>
      <c r="H23" s="115">
        <v>0</v>
      </c>
    </row>
    <row r="24" spans="1:8" x14ac:dyDescent="0.25">
      <c r="A24" s="4" t="s">
        <v>485</v>
      </c>
      <c r="B24" s="162">
        <v>25</v>
      </c>
      <c r="C24" s="32">
        <v>2018</v>
      </c>
      <c r="D24" s="161">
        <v>0</v>
      </c>
      <c r="E24" s="162">
        <v>25</v>
      </c>
      <c r="F24" s="162">
        <v>25</v>
      </c>
      <c r="G24" s="227">
        <v>19.800999999999998</v>
      </c>
      <c r="H24" s="115">
        <v>0</v>
      </c>
    </row>
    <row r="25" spans="1:8" x14ac:dyDescent="0.25">
      <c r="A25" s="4" t="s">
        <v>485</v>
      </c>
      <c r="B25" s="162"/>
      <c r="C25" s="32">
        <v>2018</v>
      </c>
      <c r="D25" s="161"/>
      <c r="E25" s="162"/>
      <c r="F25" s="162"/>
      <c r="G25" s="227">
        <v>19.8</v>
      </c>
      <c r="H25" s="115">
        <v>0</v>
      </c>
    </row>
    <row r="26" spans="1:8" x14ac:dyDescent="0.25">
      <c r="A26" s="4" t="s">
        <v>486</v>
      </c>
      <c r="B26" s="162">
        <v>26</v>
      </c>
      <c r="C26" s="32">
        <v>2018</v>
      </c>
      <c r="D26" s="161">
        <v>0</v>
      </c>
      <c r="E26" s="162">
        <v>26</v>
      </c>
      <c r="F26" s="162">
        <v>26</v>
      </c>
      <c r="G26" s="227">
        <v>25.9</v>
      </c>
      <c r="H26" s="115">
        <v>0</v>
      </c>
    </row>
    <row r="27" spans="1:8" x14ac:dyDescent="0.25">
      <c r="A27" s="4" t="s">
        <v>524</v>
      </c>
      <c r="B27" s="162"/>
      <c r="C27" s="32">
        <v>2018</v>
      </c>
      <c r="D27" s="161"/>
      <c r="E27" s="162"/>
      <c r="F27" s="162"/>
      <c r="G27" s="227">
        <v>43</v>
      </c>
      <c r="H27" s="115">
        <v>0</v>
      </c>
    </row>
    <row r="28" spans="1:8" x14ac:dyDescent="0.25">
      <c r="A28" s="4" t="s">
        <v>487</v>
      </c>
      <c r="B28" s="162">
        <v>310</v>
      </c>
      <c r="C28" s="32">
        <v>2018</v>
      </c>
      <c r="D28" s="161">
        <v>0</v>
      </c>
      <c r="E28" s="162">
        <v>310</v>
      </c>
      <c r="F28" s="162">
        <v>310</v>
      </c>
      <c r="G28" s="227">
        <v>269.89999999999998</v>
      </c>
      <c r="H28" s="115">
        <v>0</v>
      </c>
    </row>
    <row r="29" spans="1:8" s="1" customFormat="1" x14ac:dyDescent="0.25">
      <c r="A29" s="118" t="s">
        <v>488</v>
      </c>
      <c r="B29" s="167"/>
      <c r="C29" s="120"/>
      <c r="D29" s="167"/>
      <c r="E29" s="167"/>
      <c r="F29" s="167"/>
      <c r="G29" s="228"/>
      <c r="H29" s="121"/>
    </row>
    <row r="30" spans="1:8" x14ac:dyDescent="0.25">
      <c r="A30" s="4" t="s">
        <v>489</v>
      </c>
      <c r="B30" s="162">
        <v>89</v>
      </c>
      <c r="C30" s="32">
        <v>2018</v>
      </c>
      <c r="D30" s="161">
        <v>0</v>
      </c>
      <c r="E30" s="162">
        <v>89</v>
      </c>
      <c r="F30" s="162">
        <v>89</v>
      </c>
      <c r="G30" s="227">
        <v>69.989999999999995</v>
      </c>
      <c r="H30" s="115">
        <v>0</v>
      </c>
    </row>
    <row r="31" spans="1:8" x14ac:dyDescent="0.25">
      <c r="A31" s="4" t="s">
        <v>523</v>
      </c>
      <c r="B31" s="162"/>
      <c r="C31" s="32"/>
      <c r="D31" s="161"/>
      <c r="E31" s="162"/>
      <c r="F31" s="162"/>
      <c r="G31" s="227">
        <v>3.59</v>
      </c>
      <c r="H31" s="115">
        <v>0</v>
      </c>
    </row>
    <row r="32" spans="1:8" x14ac:dyDescent="0.25">
      <c r="A32" s="118" t="s">
        <v>490</v>
      </c>
      <c r="B32" s="167">
        <f>SUM(B8:B30)</f>
        <v>2383</v>
      </c>
      <c r="C32" s="120"/>
      <c r="D32" s="167">
        <v>0</v>
      </c>
      <c r="E32" s="167">
        <f>SUM(E8:E30)</f>
        <v>2383</v>
      </c>
      <c r="F32" s="167">
        <f>SUM(F8:F30)</f>
        <v>2383</v>
      </c>
      <c r="G32" s="230">
        <f>SUM(G8:G31)</f>
        <v>1327.2799999999997</v>
      </c>
      <c r="H32" s="115">
        <f t="shared" ref="H32:H70" si="0">B32-D32-E32</f>
        <v>0</v>
      </c>
    </row>
    <row r="33" spans="1:8" x14ac:dyDescent="0.25">
      <c r="A33" s="120" t="s">
        <v>491</v>
      </c>
      <c r="B33" s="167"/>
      <c r="C33" s="120"/>
      <c r="D33" s="167"/>
      <c r="E33" s="167"/>
      <c r="F33" s="167"/>
      <c r="G33" s="227"/>
      <c r="H33" s="115"/>
    </row>
    <row r="34" spans="1:8" x14ac:dyDescent="0.25">
      <c r="A34" s="77" t="s">
        <v>342</v>
      </c>
      <c r="B34" s="162">
        <v>55115</v>
      </c>
      <c r="C34" s="31">
        <v>2018</v>
      </c>
      <c r="D34" s="162">
        <v>0</v>
      </c>
      <c r="E34" s="162">
        <v>55115</v>
      </c>
      <c r="F34" s="162">
        <v>55115</v>
      </c>
      <c r="G34" s="227"/>
      <c r="H34" s="115">
        <f t="shared" si="0"/>
        <v>0</v>
      </c>
    </row>
    <row r="35" spans="1:8" x14ac:dyDescent="0.25">
      <c r="A35" s="77" t="s">
        <v>337</v>
      </c>
      <c r="B35" s="162">
        <v>189753</v>
      </c>
      <c r="C35" s="31">
        <v>2018</v>
      </c>
      <c r="D35" s="162">
        <v>0</v>
      </c>
      <c r="E35" s="162">
        <v>189753</v>
      </c>
      <c r="F35" s="162">
        <v>190261</v>
      </c>
      <c r="G35" s="227"/>
      <c r="H35" s="115">
        <f t="shared" si="0"/>
        <v>0</v>
      </c>
    </row>
    <row r="36" spans="1:8" x14ac:dyDescent="0.25">
      <c r="A36" s="77" t="s">
        <v>339</v>
      </c>
      <c r="B36" s="162">
        <v>45500</v>
      </c>
      <c r="C36" s="31">
        <v>2018</v>
      </c>
      <c r="D36" s="162">
        <v>0</v>
      </c>
      <c r="E36" s="162">
        <v>45500</v>
      </c>
      <c r="F36" s="162">
        <v>45500</v>
      </c>
      <c r="G36" s="227"/>
      <c r="H36" s="115">
        <f t="shared" si="0"/>
        <v>0</v>
      </c>
    </row>
    <row r="37" spans="1:8" x14ac:dyDescent="0.25">
      <c r="A37" s="77" t="s">
        <v>341</v>
      </c>
      <c r="B37" s="162">
        <v>159401</v>
      </c>
      <c r="C37" s="31">
        <v>2019</v>
      </c>
      <c r="D37" s="162">
        <v>0</v>
      </c>
      <c r="E37" s="162">
        <v>159401</v>
      </c>
      <c r="F37" s="162">
        <v>159401</v>
      </c>
      <c r="G37" s="227"/>
      <c r="H37" s="115">
        <f t="shared" si="0"/>
        <v>0</v>
      </c>
    </row>
    <row r="38" spans="1:8" s="1" customFormat="1" x14ac:dyDescent="0.25">
      <c r="A38" s="77" t="s">
        <v>492</v>
      </c>
      <c r="B38" s="495">
        <v>110015</v>
      </c>
      <c r="C38" s="31">
        <v>2019</v>
      </c>
      <c r="D38" s="162">
        <v>0</v>
      </c>
      <c r="E38" s="495">
        <v>110015</v>
      </c>
      <c r="F38" s="495">
        <v>99720.436000000002</v>
      </c>
      <c r="G38" s="228"/>
      <c r="H38" s="115">
        <f t="shared" si="0"/>
        <v>0</v>
      </c>
    </row>
    <row r="39" spans="1:8" x14ac:dyDescent="0.25">
      <c r="A39" s="77" t="s">
        <v>493</v>
      </c>
      <c r="B39" s="495">
        <v>46438</v>
      </c>
      <c r="C39" s="31">
        <v>2020</v>
      </c>
      <c r="D39" s="162">
        <v>0</v>
      </c>
      <c r="E39" s="495">
        <v>46438</v>
      </c>
      <c r="F39" s="495">
        <v>46438</v>
      </c>
      <c r="G39" s="227"/>
      <c r="H39" s="115">
        <f t="shared" si="0"/>
        <v>0</v>
      </c>
    </row>
    <row r="40" spans="1:8" x14ac:dyDescent="0.25">
      <c r="A40" s="118" t="s">
        <v>494</v>
      </c>
      <c r="B40" s="167">
        <f>SUM(B34:B39)</f>
        <v>606222</v>
      </c>
      <c r="C40" s="120"/>
      <c r="D40" s="167"/>
      <c r="E40" s="167">
        <f>SUM(E34:E39)</f>
        <v>606222</v>
      </c>
      <c r="F40" s="167">
        <f>SUM(F34:F39)</f>
        <v>596435.43599999999</v>
      </c>
      <c r="G40" s="230">
        <f>SUM(G34:G39)</f>
        <v>0</v>
      </c>
      <c r="H40" s="115">
        <f t="shared" si="0"/>
        <v>0</v>
      </c>
    </row>
    <row r="41" spans="1:8" x14ac:dyDescent="0.25">
      <c r="A41" s="4" t="s">
        <v>495</v>
      </c>
      <c r="B41" s="162">
        <v>500</v>
      </c>
      <c r="C41" s="31">
        <v>2018</v>
      </c>
      <c r="D41" s="162"/>
      <c r="E41" s="162">
        <v>500</v>
      </c>
      <c r="F41" s="162">
        <v>500</v>
      </c>
      <c r="G41" s="227"/>
      <c r="H41" s="115">
        <f t="shared" si="0"/>
        <v>0</v>
      </c>
    </row>
    <row r="42" spans="1:8" x14ac:dyDescent="0.25">
      <c r="A42" s="4" t="s">
        <v>525</v>
      </c>
      <c r="B42" s="162"/>
      <c r="C42" s="31"/>
      <c r="D42" s="162"/>
      <c r="E42" s="162"/>
      <c r="F42" s="162"/>
      <c r="G42" s="227">
        <v>188</v>
      </c>
      <c r="H42" s="115">
        <v>0</v>
      </c>
    </row>
    <row r="43" spans="1:8" x14ac:dyDescent="0.25">
      <c r="A43" s="4" t="s">
        <v>526</v>
      </c>
      <c r="B43" s="162"/>
      <c r="C43" s="31"/>
      <c r="D43" s="162"/>
      <c r="E43" s="162"/>
      <c r="F43" s="162"/>
      <c r="G43" s="227">
        <v>265</v>
      </c>
      <c r="H43" s="115">
        <v>0</v>
      </c>
    </row>
    <row r="44" spans="1:8" x14ac:dyDescent="0.25">
      <c r="A44" s="4" t="s">
        <v>496</v>
      </c>
      <c r="B44" s="162">
        <v>700</v>
      </c>
      <c r="C44" s="31">
        <v>2018</v>
      </c>
      <c r="D44" s="162"/>
      <c r="E44" s="162">
        <v>700</v>
      </c>
      <c r="F44" s="162">
        <v>700</v>
      </c>
      <c r="G44" s="227"/>
      <c r="H44" s="115">
        <f t="shared" si="0"/>
        <v>0</v>
      </c>
    </row>
    <row r="45" spans="1:8" ht="31.5" x14ac:dyDescent="0.25">
      <c r="A45" s="23" t="s">
        <v>497</v>
      </c>
      <c r="B45" s="162">
        <v>50</v>
      </c>
      <c r="C45" s="31">
        <v>2018</v>
      </c>
      <c r="D45" s="162">
        <v>0</v>
      </c>
      <c r="E45" s="162">
        <v>50</v>
      </c>
      <c r="F45" s="162">
        <v>50</v>
      </c>
      <c r="G45" s="227"/>
      <c r="H45" s="115">
        <f t="shared" si="0"/>
        <v>0</v>
      </c>
    </row>
    <row r="46" spans="1:8" x14ac:dyDescent="0.25">
      <c r="A46" s="4" t="s">
        <v>452</v>
      </c>
      <c r="B46" s="162">
        <v>10526</v>
      </c>
      <c r="C46" s="31">
        <v>2018</v>
      </c>
      <c r="D46" s="162">
        <v>0</v>
      </c>
      <c r="E46" s="162">
        <v>10526</v>
      </c>
      <c r="F46" s="162">
        <v>10776</v>
      </c>
      <c r="G46" s="227"/>
      <c r="H46" s="115">
        <v>0</v>
      </c>
    </row>
    <row r="47" spans="1:8" x14ac:dyDescent="0.25">
      <c r="A47" s="4" t="s">
        <v>498</v>
      </c>
      <c r="B47" s="162"/>
      <c r="C47" s="31">
        <v>2018</v>
      </c>
      <c r="D47" s="162"/>
      <c r="E47" s="162"/>
      <c r="F47" s="162">
        <v>299.23</v>
      </c>
      <c r="G47" s="227"/>
      <c r="H47" s="115">
        <f t="shared" si="0"/>
        <v>0</v>
      </c>
    </row>
    <row r="48" spans="1:8" x14ac:dyDescent="0.25">
      <c r="A48" s="4" t="s">
        <v>527</v>
      </c>
      <c r="B48" s="162"/>
      <c r="C48" s="31"/>
      <c r="D48" s="162"/>
      <c r="E48" s="162"/>
      <c r="F48" s="162"/>
      <c r="G48" s="227">
        <v>165.70599999999999</v>
      </c>
      <c r="H48" s="115">
        <v>0</v>
      </c>
    </row>
    <row r="49" spans="1:8" s="1" customFormat="1" x14ac:dyDescent="0.25">
      <c r="A49" s="496" t="s">
        <v>462</v>
      </c>
      <c r="B49" s="229">
        <v>1800</v>
      </c>
      <c r="C49" s="31">
        <v>2018</v>
      </c>
      <c r="D49" s="162">
        <v>0</v>
      </c>
      <c r="E49" s="229">
        <v>1800</v>
      </c>
      <c r="F49" s="229">
        <v>1800</v>
      </c>
      <c r="G49" s="229">
        <v>1662</v>
      </c>
      <c r="H49" s="115">
        <v>0</v>
      </c>
    </row>
    <row r="50" spans="1:8" s="1" customFormat="1" x14ac:dyDescent="0.25">
      <c r="A50" s="118" t="s">
        <v>499</v>
      </c>
      <c r="B50" s="167">
        <f>B32+B40+SUM(B41:B49)</f>
        <v>622181</v>
      </c>
      <c r="C50" s="119"/>
      <c r="D50" s="167">
        <f>D7+D21</f>
        <v>0</v>
      </c>
      <c r="E50" s="167">
        <f>E32+E40+SUM(E41:E49)</f>
        <v>622181</v>
      </c>
      <c r="F50" s="167">
        <f>F32+F40+SUM(F41:F49)</f>
        <v>612943.66599999997</v>
      </c>
      <c r="G50" s="230">
        <f>G32+G40+SUM(G41:G49)</f>
        <v>3607.9859999999999</v>
      </c>
      <c r="H50" s="121">
        <v>0</v>
      </c>
    </row>
    <row r="51" spans="1:8" x14ac:dyDescent="0.25">
      <c r="A51" s="120" t="s">
        <v>500</v>
      </c>
      <c r="B51" s="167"/>
      <c r="C51" s="120"/>
      <c r="D51" s="167"/>
      <c r="E51" s="167"/>
      <c r="F51" s="167"/>
      <c r="G51" s="227"/>
      <c r="H51" s="115"/>
    </row>
    <row r="52" spans="1:8" x14ac:dyDescent="0.25">
      <c r="A52" s="4" t="s">
        <v>501</v>
      </c>
      <c r="B52" s="162">
        <v>127</v>
      </c>
      <c r="C52" s="31">
        <v>2018</v>
      </c>
      <c r="D52" s="162"/>
      <c r="E52" s="162">
        <v>127</v>
      </c>
      <c r="F52" s="162">
        <v>147</v>
      </c>
      <c r="G52" s="227"/>
      <c r="H52" s="115">
        <f t="shared" si="0"/>
        <v>0</v>
      </c>
    </row>
    <row r="53" spans="1:8" x14ac:dyDescent="0.25">
      <c r="A53" s="4" t="s">
        <v>517</v>
      </c>
      <c r="B53" s="162"/>
      <c r="C53" s="31"/>
      <c r="D53" s="162"/>
      <c r="E53" s="162"/>
      <c r="F53" s="162"/>
      <c r="G53" s="227">
        <v>86.07</v>
      </c>
      <c r="H53" s="115">
        <f t="shared" si="0"/>
        <v>0</v>
      </c>
    </row>
    <row r="54" spans="1:8" x14ac:dyDescent="0.25">
      <c r="A54" s="4" t="s">
        <v>518</v>
      </c>
      <c r="B54" s="162"/>
      <c r="C54" s="31"/>
      <c r="D54" s="162"/>
      <c r="E54" s="162"/>
      <c r="F54" s="162"/>
      <c r="G54" s="227">
        <v>22.099</v>
      </c>
      <c r="H54" s="115">
        <f t="shared" si="0"/>
        <v>0</v>
      </c>
    </row>
    <row r="55" spans="1:8" x14ac:dyDescent="0.25">
      <c r="A55" s="4" t="s">
        <v>519</v>
      </c>
      <c r="B55" s="162"/>
      <c r="C55" s="31"/>
      <c r="D55" s="162"/>
      <c r="E55" s="162"/>
      <c r="F55" s="162"/>
      <c r="G55" s="227">
        <v>12.5</v>
      </c>
      <c r="H55" s="115">
        <f t="shared" si="0"/>
        <v>0</v>
      </c>
    </row>
    <row r="56" spans="1:8" x14ac:dyDescent="0.25">
      <c r="A56" s="4" t="s">
        <v>556</v>
      </c>
      <c r="B56" s="162"/>
      <c r="C56" s="31"/>
      <c r="D56" s="162"/>
      <c r="E56" s="162"/>
      <c r="F56" s="162"/>
      <c r="G56" s="227">
        <v>9.99</v>
      </c>
      <c r="H56" s="115"/>
    </row>
    <row r="57" spans="1:8" x14ac:dyDescent="0.25">
      <c r="A57" s="4" t="s">
        <v>520</v>
      </c>
      <c r="B57" s="162"/>
      <c r="C57" s="31"/>
      <c r="D57" s="162"/>
      <c r="E57" s="162"/>
      <c r="F57" s="162"/>
      <c r="G57" s="227">
        <v>9.4</v>
      </c>
      <c r="H57" s="115">
        <f t="shared" si="0"/>
        <v>0</v>
      </c>
    </row>
    <row r="58" spans="1:8" x14ac:dyDescent="0.25">
      <c r="A58" s="497" t="s">
        <v>502</v>
      </c>
      <c r="B58" s="167">
        <v>127</v>
      </c>
      <c r="C58" s="120"/>
      <c r="D58" s="167"/>
      <c r="E58" s="167">
        <f>SUM(E52:E52)</f>
        <v>127</v>
      </c>
      <c r="F58" s="167">
        <f>SUM(F52:F52)</f>
        <v>147</v>
      </c>
      <c r="G58" s="228">
        <f>SUM(G53:G57)</f>
        <v>140.059</v>
      </c>
      <c r="H58" s="115">
        <f t="shared" si="0"/>
        <v>0</v>
      </c>
    </row>
    <row r="59" spans="1:8" x14ac:dyDescent="0.25">
      <c r="A59" s="120" t="s">
        <v>503</v>
      </c>
      <c r="B59" s="162"/>
      <c r="C59" s="31"/>
      <c r="D59" s="162"/>
      <c r="E59" s="162"/>
      <c r="F59" s="162"/>
      <c r="G59" s="227"/>
      <c r="H59" s="115"/>
    </row>
    <row r="60" spans="1:8" x14ac:dyDescent="0.25">
      <c r="A60" s="4" t="s">
        <v>501</v>
      </c>
      <c r="B60" s="162">
        <v>127</v>
      </c>
      <c r="C60" s="31">
        <v>2018</v>
      </c>
      <c r="D60" s="162"/>
      <c r="E60" s="162">
        <v>127</v>
      </c>
      <c r="F60" s="162">
        <v>127</v>
      </c>
      <c r="G60" s="227"/>
      <c r="H60" s="115">
        <v>0</v>
      </c>
    </row>
    <row r="61" spans="1:8" x14ac:dyDescent="0.25">
      <c r="A61" s="4" t="s">
        <v>519</v>
      </c>
      <c r="B61" s="162"/>
      <c r="C61" s="31"/>
      <c r="D61" s="162"/>
      <c r="E61" s="162"/>
      <c r="F61" s="162"/>
      <c r="G61" s="227">
        <v>16.899999999999999</v>
      </c>
      <c r="H61" s="115"/>
    </row>
    <row r="62" spans="1:8" s="1" customFormat="1" x14ac:dyDescent="0.25">
      <c r="A62" s="4" t="s">
        <v>521</v>
      </c>
      <c r="B62" s="162"/>
      <c r="C62" s="31">
        <v>2018</v>
      </c>
      <c r="D62" s="162"/>
      <c r="E62" s="162"/>
      <c r="F62" s="162"/>
      <c r="G62" s="227">
        <v>11.9</v>
      </c>
      <c r="H62" s="115">
        <v>0</v>
      </c>
    </row>
    <row r="63" spans="1:8" x14ac:dyDescent="0.25">
      <c r="A63" s="497" t="s">
        <v>504</v>
      </c>
      <c r="B63" s="167">
        <v>127</v>
      </c>
      <c r="C63" s="31"/>
      <c r="D63" s="162"/>
      <c r="E63" s="167">
        <v>127</v>
      </c>
      <c r="F63" s="167">
        <v>127</v>
      </c>
      <c r="G63" s="228">
        <f>SUM(G61:G62)</f>
        <v>28.799999999999997</v>
      </c>
      <c r="H63" s="115">
        <v>0</v>
      </c>
    </row>
    <row r="64" spans="1:8" s="1" customFormat="1" x14ac:dyDescent="0.25">
      <c r="A64" s="120" t="s">
        <v>505</v>
      </c>
      <c r="B64" s="162"/>
      <c r="C64" s="31"/>
      <c r="D64" s="162"/>
      <c r="E64" s="162"/>
      <c r="F64" s="162"/>
      <c r="G64" s="228"/>
      <c r="H64" s="115">
        <v>0</v>
      </c>
    </row>
    <row r="65" spans="1:8" x14ac:dyDescent="0.25">
      <c r="A65" s="4" t="s">
        <v>501</v>
      </c>
      <c r="B65" s="162">
        <v>127</v>
      </c>
      <c r="C65" s="31">
        <v>2018</v>
      </c>
      <c r="D65" s="162"/>
      <c r="E65" s="162">
        <v>127</v>
      </c>
      <c r="F65" s="162">
        <v>227</v>
      </c>
      <c r="G65" s="227"/>
      <c r="H65" s="115">
        <f t="shared" si="0"/>
        <v>0</v>
      </c>
    </row>
    <row r="66" spans="1:8" x14ac:dyDescent="0.25">
      <c r="A66" s="497" t="s">
        <v>506</v>
      </c>
      <c r="B66" s="167">
        <f>SUM(B65:B65)</f>
        <v>127</v>
      </c>
      <c r="C66" s="119"/>
      <c r="D66" s="167">
        <f>SUM(D65:D65)</f>
        <v>0</v>
      </c>
      <c r="E66" s="167">
        <f>SUM(E65:E65)</f>
        <v>127</v>
      </c>
      <c r="F66" s="167">
        <f>SUM(F65:F65)</f>
        <v>227</v>
      </c>
      <c r="G66" s="227"/>
      <c r="H66" s="115">
        <f t="shared" si="0"/>
        <v>0</v>
      </c>
    </row>
    <row r="67" spans="1:8" x14ac:dyDescent="0.25">
      <c r="A67" s="120" t="s">
        <v>344</v>
      </c>
      <c r="B67" s="162"/>
      <c r="C67" s="31"/>
      <c r="D67" s="162"/>
      <c r="E67" s="162"/>
      <c r="F67" s="162"/>
      <c r="G67" s="227"/>
      <c r="H67" s="115"/>
    </row>
    <row r="68" spans="1:8" x14ac:dyDescent="0.25">
      <c r="A68" s="4" t="s">
        <v>501</v>
      </c>
      <c r="B68" s="162">
        <v>127</v>
      </c>
      <c r="C68" s="31">
        <v>2018</v>
      </c>
      <c r="D68" s="162"/>
      <c r="E68" s="162">
        <v>127</v>
      </c>
      <c r="F68" s="162">
        <v>227</v>
      </c>
      <c r="G68" s="227"/>
      <c r="H68" s="115">
        <f t="shared" si="0"/>
        <v>0</v>
      </c>
    </row>
    <row r="69" spans="1:8" x14ac:dyDescent="0.25">
      <c r="A69" s="4" t="s">
        <v>522</v>
      </c>
      <c r="B69" s="162"/>
      <c r="C69" s="31"/>
      <c r="D69" s="162"/>
      <c r="E69" s="162"/>
      <c r="F69" s="162"/>
      <c r="G69" s="227">
        <v>99.713999999999999</v>
      </c>
      <c r="H69" s="115">
        <f t="shared" si="0"/>
        <v>0</v>
      </c>
    </row>
    <row r="70" spans="1:8" x14ac:dyDescent="0.25">
      <c r="A70" s="4" t="s">
        <v>562</v>
      </c>
      <c r="B70" s="162"/>
      <c r="C70" s="31"/>
      <c r="D70" s="162"/>
      <c r="E70" s="162"/>
      <c r="F70" s="162"/>
      <c r="G70" s="227">
        <v>63.5</v>
      </c>
      <c r="H70" s="115">
        <f t="shared" si="0"/>
        <v>0</v>
      </c>
    </row>
    <row r="71" spans="1:8" ht="16.5" thickBot="1" x14ac:dyDescent="0.3">
      <c r="A71" s="512" t="s">
        <v>507</v>
      </c>
      <c r="B71" s="513">
        <v>127</v>
      </c>
      <c r="C71" s="514"/>
      <c r="D71" s="513">
        <v>0</v>
      </c>
      <c r="E71" s="513">
        <f>SUM(E68:E68)</f>
        <v>127</v>
      </c>
      <c r="F71" s="513">
        <f>SUM(F68:F68)</f>
        <v>227</v>
      </c>
      <c r="G71" s="515">
        <f>SUM(G68:G70)</f>
        <v>163.214</v>
      </c>
      <c r="H71" s="486">
        <v>0</v>
      </c>
    </row>
    <row r="72" spans="1:8" ht="16.5" thickBot="1" x14ac:dyDescent="0.3">
      <c r="A72" s="37" t="s">
        <v>304</v>
      </c>
      <c r="B72" s="165">
        <f>B50+B58+B63+B66+B71</f>
        <v>622689</v>
      </c>
      <c r="C72" s="165"/>
      <c r="D72" s="165">
        <f>D50+D51+D66</f>
        <v>0</v>
      </c>
      <c r="E72" s="165">
        <f>E50+E58+E63+E66+E71</f>
        <v>622689</v>
      </c>
      <c r="F72" s="165">
        <f>F50+F58+F63+F66+F71</f>
        <v>613671.66599999997</v>
      </c>
      <c r="G72" s="517">
        <f>G50+G58+G63+G66+G71</f>
        <v>3940.0590000000002</v>
      </c>
      <c r="H72" s="516">
        <v>0</v>
      </c>
    </row>
  </sheetData>
  <mergeCells count="3">
    <mergeCell ref="A1:H1"/>
    <mergeCell ref="A3:H3"/>
    <mergeCell ref="E4:H4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"/>
  <sheetViews>
    <sheetView workbookViewId="0">
      <selection activeCell="F18" sqref="F18"/>
    </sheetView>
  </sheetViews>
  <sheetFormatPr defaultRowHeight="15.75" x14ac:dyDescent="0.25"/>
  <cols>
    <col min="1" max="1" width="53.42578125" style="2" customWidth="1"/>
    <col min="2" max="2" width="14.42578125" style="2" customWidth="1"/>
    <col min="3" max="3" width="19" style="2" customWidth="1"/>
    <col min="4" max="4" width="12" style="2" customWidth="1"/>
    <col min="5" max="7" width="11.42578125" style="2" customWidth="1"/>
    <col min="8" max="8" width="12.85546875" style="2" customWidth="1"/>
    <col min="9" max="16384" width="9.140625" style="2"/>
  </cols>
  <sheetData>
    <row r="1" spans="1:8" x14ac:dyDescent="0.25">
      <c r="A1" s="549" t="s">
        <v>433</v>
      </c>
      <c r="B1" s="549"/>
      <c r="C1" s="549"/>
      <c r="D1" s="549"/>
      <c r="E1" s="549"/>
      <c r="F1" s="549"/>
      <c r="G1" s="549"/>
      <c r="H1" s="549"/>
    </row>
    <row r="3" spans="1:8" s="40" customFormat="1" ht="29.25" customHeight="1" x14ac:dyDescent="0.25">
      <c r="A3" s="601" t="s">
        <v>551</v>
      </c>
      <c r="B3" s="602"/>
      <c r="C3" s="602"/>
      <c r="D3" s="602"/>
      <c r="E3" s="602"/>
      <c r="F3" s="602"/>
      <c r="G3" s="602"/>
      <c r="H3" s="602"/>
    </row>
    <row r="4" spans="1:8" ht="16.5" thickBot="1" x14ac:dyDescent="0.3">
      <c r="E4" s="549" t="s">
        <v>343</v>
      </c>
      <c r="F4" s="549"/>
      <c r="G4" s="549"/>
      <c r="H4" s="549"/>
    </row>
    <row r="5" spans="1:8" s="40" customFormat="1" ht="48" thickBot="1" x14ac:dyDescent="0.3">
      <c r="A5" s="43" t="s">
        <v>193</v>
      </c>
      <c r="B5" s="41" t="s">
        <v>190</v>
      </c>
      <c r="C5" s="44" t="s">
        <v>191</v>
      </c>
      <c r="D5" s="44" t="s">
        <v>325</v>
      </c>
      <c r="E5" s="44" t="s">
        <v>391</v>
      </c>
      <c r="F5" s="225" t="s">
        <v>430</v>
      </c>
      <c r="G5" s="225" t="s">
        <v>431</v>
      </c>
      <c r="H5" s="42" t="s">
        <v>432</v>
      </c>
    </row>
    <row r="6" spans="1:8" x14ac:dyDescent="0.25">
      <c r="A6" s="122"/>
      <c r="B6" s="8"/>
      <c r="C6" s="8"/>
      <c r="D6" s="8"/>
      <c r="E6" s="8"/>
      <c r="F6" s="8"/>
      <c r="G6" s="168"/>
      <c r="H6" s="4"/>
    </row>
    <row r="7" spans="1:8" x14ac:dyDescent="0.25">
      <c r="A7" s="8" t="s">
        <v>508</v>
      </c>
      <c r="B7" s="161">
        <v>500</v>
      </c>
      <c r="C7" s="32">
        <v>2018</v>
      </c>
      <c r="D7" s="161">
        <v>0</v>
      </c>
      <c r="E7" s="161">
        <v>500</v>
      </c>
      <c r="F7" s="161">
        <v>500</v>
      </c>
      <c r="G7" s="169">
        <f>190.261+17.19</f>
        <v>207.45099999999999</v>
      </c>
      <c r="H7" s="10"/>
    </row>
    <row r="8" spans="1:8" x14ac:dyDescent="0.25">
      <c r="A8" s="4" t="s">
        <v>509</v>
      </c>
      <c r="B8" s="168">
        <v>19925</v>
      </c>
      <c r="C8" s="123">
        <v>2018</v>
      </c>
      <c r="D8" s="162">
        <v>0</v>
      </c>
      <c r="E8" s="168">
        <v>19925</v>
      </c>
      <c r="F8" s="168">
        <v>20320</v>
      </c>
      <c r="G8" s="169">
        <v>20320</v>
      </c>
      <c r="H8" s="10"/>
    </row>
    <row r="9" spans="1:8" x14ac:dyDescent="0.25">
      <c r="A9" s="4" t="s">
        <v>510</v>
      </c>
      <c r="B9" s="169">
        <v>1029</v>
      </c>
      <c r="C9" s="123">
        <v>2018</v>
      </c>
      <c r="D9" s="162">
        <v>0</v>
      </c>
      <c r="E9" s="169">
        <v>1029</v>
      </c>
      <c r="F9" s="169">
        <v>1029</v>
      </c>
      <c r="G9" s="169">
        <v>1211.58</v>
      </c>
      <c r="H9" s="10"/>
    </row>
    <row r="10" spans="1:8" x14ac:dyDescent="0.25">
      <c r="A10" s="4" t="s">
        <v>511</v>
      </c>
      <c r="B10" s="169">
        <v>1189</v>
      </c>
      <c r="C10" s="124">
        <v>2018</v>
      </c>
      <c r="D10" s="163">
        <v>0</v>
      </c>
      <c r="E10" s="169">
        <v>1189</v>
      </c>
      <c r="F10" s="169">
        <v>1189</v>
      </c>
      <c r="G10" s="169">
        <v>1583.69</v>
      </c>
      <c r="H10" s="10"/>
    </row>
    <row r="11" spans="1:8" ht="31.5" x14ac:dyDescent="0.25">
      <c r="A11" s="498" t="s">
        <v>512</v>
      </c>
      <c r="B11" s="169">
        <v>937.53599999999994</v>
      </c>
      <c r="C11" s="35">
        <v>2018</v>
      </c>
      <c r="D11" s="163">
        <v>0</v>
      </c>
      <c r="E11" s="169"/>
      <c r="F11" s="169">
        <f>937.536+186</f>
        <v>1123.5360000000001</v>
      </c>
      <c r="G11" s="169">
        <f>186+738.217+199.319</f>
        <v>1123.5360000000001</v>
      </c>
      <c r="H11" s="10"/>
    </row>
    <row r="12" spans="1:8" ht="16.5" thickBot="1" x14ac:dyDescent="0.3">
      <c r="A12" s="10" t="s">
        <v>513</v>
      </c>
      <c r="B12" s="169">
        <v>2647.06</v>
      </c>
      <c r="C12" s="35">
        <v>2018</v>
      </c>
      <c r="D12" s="163">
        <v>0</v>
      </c>
      <c r="E12" s="169"/>
      <c r="F12" s="169">
        <v>2708.8159999999998</v>
      </c>
      <c r="G12" s="169"/>
      <c r="H12" s="10"/>
    </row>
    <row r="13" spans="1:8" ht="16.5" thickBot="1" x14ac:dyDescent="0.3">
      <c r="A13" s="37" t="s">
        <v>192</v>
      </c>
      <c r="B13" s="518">
        <f>SUM(B7:B12)</f>
        <v>26227.596000000001</v>
      </c>
      <c r="C13" s="9"/>
      <c r="D13" s="165">
        <f>SUM(D8:D12)</f>
        <v>0</v>
      </c>
      <c r="E13" s="518">
        <f>SUM(E7:E12)</f>
        <v>22643</v>
      </c>
      <c r="F13" s="519">
        <f>SUM(F7:F12)</f>
        <v>26870.351999999999</v>
      </c>
      <c r="G13" s="519">
        <f>SUM(G7:G12)</f>
        <v>24446.257000000001</v>
      </c>
      <c r="H13" s="520"/>
    </row>
  </sheetData>
  <mergeCells count="3">
    <mergeCell ref="A1:H1"/>
    <mergeCell ref="A3:H3"/>
    <mergeCell ref="E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3"/>
  <sheetViews>
    <sheetView view="pageBreakPreview" topLeftCell="A61" zoomScaleNormal="100" zoomScaleSheetLayoutView="100" workbookViewId="0">
      <selection activeCell="E72" sqref="E72"/>
    </sheetView>
  </sheetViews>
  <sheetFormatPr defaultRowHeight="15" x14ac:dyDescent="0.25"/>
  <cols>
    <col min="1" max="1" width="6.85546875" style="458" customWidth="1"/>
    <col min="2" max="2" width="60.42578125" style="371" customWidth="1"/>
    <col min="3" max="3" width="17.7109375" style="381" customWidth="1"/>
    <col min="4" max="4" width="15.28515625" style="443" customWidth="1"/>
    <col min="5" max="5" width="13.7109375" style="381" bestFit="1" customWidth="1"/>
    <col min="6" max="6" width="10.5703125" style="373" bestFit="1" customWidth="1"/>
    <col min="7" max="16384" width="9.140625" style="371"/>
  </cols>
  <sheetData>
    <row r="1" spans="1:7" x14ac:dyDescent="0.25">
      <c r="A1" s="545" t="s">
        <v>395</v>
      </c>
      <c r="B1" s="545"/>
      <c r="C1" s="545"/>
      <c r="D1" s="545"/>
      <c r="E1" s="545"/>
      <c r="F1" s="545"/>
    </row>
    <row r="2" spans="1:7" s="189" customFormat="1" ht="14.25" x14ac:dyDescent="0.2">
      <c r="A2" s="546" t="s">
        <v>0</v>
      </c>
      <c r="B2" s="546"/>
      <c r="C2" s="546"/>
      <c r="D2" s="546"/>
      <c r="E2" s="546"/>
      <c r="F2" s="546"/>
    </row>
    <row r="3" spans="1:7" s="189" customFormat="1" ht="14.25" x14ac:dyDescent="0.2">
      <c r="A3" s="546" t="s">
        <v>396</v>
      </c>
      <c r="B3" s="546"/>
      <c r="C3" s="546"/>
      <c r="D3" s="546"/>
      <c r="E3" s="546"/>
      <c r="F3" s="546"/>
    </row>
    <row r="4" spans="1:7" s="189" customFormat="1" ht="15.75" x14ac:dyDescent="0.25">
      <c r="A4" s="542" t="s">
        <v>536</v>
      </c>
      <c r="B4" s="542"/>
      <c r="C4" s="542"/>
      <c r="D4" s="542"/>
      <c r="E4" s="542"/>
      <c r="F4" s="542"/>
      <c r="G4" s="542"/>
    </row>
    <row r="5" spans="1:7" s="189" customFormat="1" ht="14.25" x14ac:dyDescent="0.2">
      <c r="A5" s="546" t="s">
        <v>1</v>
      </c>
      <c r="B5" s="546"/>
      <c r="C5" s="546"/>
      <c r="D5" s="546"/>
      <c r="E5" s="546"/>
      <c r="F5" s="546"/>
    </row>
    <row r="6" spans="1:7" s="189" customFormat="1" thickBot="1" x14ac:dyDescent="0.25">
      <c r="A6" s="403" t="s">
        <v>87</v>
      </c>
      <c r="C6" s="404"/>
      <c r="D6" s="405"/>
      <c r="E6" s="374"/>
      <c r="F6" s="356"/>
    </row>
    <row r="7" spans="1:7" s="409" customFormat="1" thickBot="1" x14ac:dyDescent="0.3">
      <c r="A7" s="406">
        <v>1</v>
      </c>
      <c r="B7" s="407">
        <v>2</v>
      </c>
      <c r="C7" s="358">
        <v>3</v>
      </c>
      <c r="D7" s="408">
        <v>4</v>
      </c>
      <c r="E7" s="382">
        <v>5</v>
      </c>
      <c r="F7" s="382">
        <v>6</v>
      </c>
    </row>
    <row r="8" spans="1:7" s="189" customFormat="1" ht="29.25" thickBot="1" x14ac:dyDescent="0.25">
      <c r="A8" s="410" t="s">
        <v>4</v>
      </c>
      <c r="B8" s="407" t="s">
        <v>2</v>
      </c>
      <c r="C8" s="360" t="s">
        <v>391</v>
      </c>
      <c r="D8" s="411" t="s">
        <v>392</v>
      </c>
      <c r="E8" s="333" t="s">
        <v>393</v>
      </c>
      <c r="F8" s="337" t="s">
        <v>394</v>
      </c>
    </row>
    <row r="9" spans="1:7" s="189" customFormat="1" thickBot="1" x14ac:dyDescent="0.25">
      <c r="A9" s="412" t="s">
        <v>3</v>
      </c>
      <c r="B9" s="413" t="s">
        <v>16</v>
      </c>
      <c r="C9" s="362">
        <f>SUM(C10:C15)</f>
        <v>257157.579</v>
      </c>
      <c r="D9" s="414">
        <f>SUM(D10:D15)</f>
        <v>266786.842</v>
      </c>
      <c r="E9" s="414">
        <f>SUM(E10:E15)</f>
        <v>203033.69</v>
      </c>
      <c r="F9" s="384">
        <f>E9/D9</f>
        <v>0.76103337210311139</v>
      </c>
    </row>
    <row r="10" spans="1:7" x14ac:dyDescent="0.25">
      <c r="A10" s="415" t="s">
        <v>6</v>
      </c>
      <c r="B10" s="416" t="s">
        <v>30</v>
      </c>
      <c r="C10" s="364">
        <v>95069.09</v>
      </c>
      <c r="D10" s="417">
        <v>95069.09</v>
      </c>
      <c r="E10" s="418">
        <f>77825.05-5377.5</f>
        <v>72447.55</v>
      </c>
      <c r="F10" s="383">
        <f t="shared" ref="F10:F49" si="0">E10/D10</f>
        <v>0.76205157743699881</v>
      </c>
    </row>
    <row r="11" spans="1:7" x14ac:dyDescent="0.25">
      <c r="A11" s="419" t="s">
        <v>7</v>
      </c>
      <c r="B11" s="420" t="s">
        <v>31</v>
      </c>
      <c r="C11" s="364">
        <v>72321.217999999993</v>
      </c>
      <c r="D11" s="421">
        <v>72321.217999999993</v>
      </c>
      <c r="E11" s="418">
        <v>55590.76</v>
      </c>
      <c r="F11" s="367">
        <f t="shared" si="0"/>
        <v>0.76866459854146829</v>
      </c>
    </row>
    <row r="12" spans="1:7" x14ac:dyDescent="0.25">
      <c r="A12" s="419" t="s">
        <v>8</v>
      </c>
      <c r="B12" s="420" t="s">
        <v>316</v>
      </c>
      <c r="C12" s="364">
        <v>85366.501000000004</v>
      </c>
      <c r="D12" s="421">
        <v>91408.501000000004</v>
      </c>
      <c r="E12" s="418">
        <f>99409.758-30845.612</f>
        <v>68564.146000000008</v>
      </c>
      <c r="F12" s="367">
        <f t="shared" si="0"/>
        <v>0.75008500576986825</v>
      </c>
    </row>
    <row r="13" spans="1:7" x14ac:dyDescent="0.25">
      <c r="A13" s="419" t="s">
        <v>9</v>
      </c>
      <c r="B13" s="420" t="s">
        <v>33</v>
      </c>
      <c r="C13" s="364">
        <v>4400.7700000000004</v>
      </c>
      <c r="D13" s="421">
        <v>5380.6869999999999</v>
      </c>
      <c r="E13" s="418">
        <v>4177.6080000000002</v>
      </c>
      <c r="F13" s="367">
        <f t="shared" si="0"/>
        <v>0.77640791965784295</v>
      </c>
    </row>
    <row r="14" spans="1:7" x14ac:dyDescent="0.25">
      <c r="A14" s="419" t="s">
        <v>10</v>
      </c>
      <c r="B14" s="420" t="s">
        <v>34</v>
      </c>
      <c r="C14" s="364"/>
      <c r="D14" s="417">
        <v>2607.346</v>
      </c>
      <c r="E14" s="418">
        <v>2253.6260000000002</v>
      </c>
      <c r="F14" s="367">
        <f t="shared" si="0"/>
        <v>0.86433714589471444</v>
      </c>
    </row>
    <row r="15" spans="1:7" ht="15.75" thickBot="1" x14ac:dyDescent="0.3">
      <c r="A15" s="423" t="s">
        <v>11</v>
      </c>
      <c r="B15" s="424" t="s">
        <v>358</v>
      </c>
      <c r="C15" s="364"/>
      <c r="D15" s="422"/>
      <c r="E15" s="418"/>
      <c r="F15" s="385"/>
    </row>
    <row r="16" spans="1:7" s="189" customFormat="1" thickBot="1" x14ac:dyDescent="0.25">
      <c r="A16" s="412" t="s">
        <v>5</v>
      </c>
      <c r="B16" s="413" t="s">
        <v>39</v>
      </c>
      <c r="C16" s="362">
        <f>SUM(C17:C18)</f>
        <v>116377</v>
      </c>
      <c r="D16" s="414">
        <f>SUM(D17:D18)</f>
        <v>117778.599</v>
      </c>
      <c r="E16" s="414">
        <f>SUM(E17:E18)</f>
        <v>87330.159</v>
      </c>
      <c r="F16" s="384">
        <f t="shared" si="0"/>
        <v>0.74147731201998757</v>
      </c>
    </row>
    <row r="17" spans="1:6" x14ac:dyDescent="0.25">
      <c r="A17" s="415" t="s">
        <v>12</v>
      </c>
      <c r="B17" s="416" t="s">
        <v>36</v>
      </c>
      <c r="C17" s="364"/>
      <c r="D17" s="422"/>
      <c r="E17" s="418"/>
      <c r="F17" s="383"/>
    </row>
    <row r="18" spans="1:6" x14ac:dyDescent="0.25">
      <c r="A18" s="419" t="s">
        <v>13</v>
      </c>
      <c r="B18" s="420" t="s">
        <v>37</v>
      </c>
      <c r="C18" s="364">
        <v>116377</v>
      </c>
      <c r="D18" s="417">
        <v>117778.599</v>
      </c>
      <c r="E18" s="418">
        <v>87330.159</v>
      </c>
      <c r="F18" s="367">
        <f t="shared" si="0"/>
        <v>0.74147731201998757</v>
      </c>
    </row>
    <row r="19" spans="1:6" ht="15.75" thickBot="1" x14ac:dyDescent="0.3">
      <c r="A19" s="423" t="s">
        <v>14</v>
      </c>
      <c r="B19" s="424" t="s">
        <v>38</v>
      </c>
      <c r="C19" s="364"/>
      <c r="D19" s="422"/>
      <c r="E19" s="418"/>
      <c r="F19" s="385"/>
    </row>
    <row r="20" spans="1:6" s="189" customFormat="1" thickBot="1" x14ac:dyDescent="0.25">
      <c r="A20" s="412" t="s">
        <v>15</v>
      </c>
      <c r="B20" s="413" t="s">
        <v>43</v>
      </c>
      <c r="C20" s="362">
        <f>SUM(C21:C22)</f>
        <v>0</v>
      </c>
      <c r="D20" s="414">
        <f>SUM(D21:D22)</f>
        <v>0</v>
      </c>
      <c r="E20" s="414">
        <f>SUM(E21:E22)</f>
        <v>0</v>
      </c>
      <c r="F20" s="384"/>
    </row>
    <row r="21" spans="1:6" x14ac:dyDescent="0.25">
      <c r="A21" s="415" t="s">
        <v>17</v>
      </c>
      <c r="B21" s="416" t="s">
        <v>40</v>
      </c>
      <c r="C21" s="364"/>
      <c r="D21" s="422"/>
      <c r="E21" s="418"/>
      <c r="F21" s="383"/>
    </row>
    <row r="22" spans="1:6" x14ac:dyDescent="0.25">
      <c r="A22" s="419" t="s">
        <v>18</v>
      </c>
      <c r="B22" s="420" t="s">
        <v>41</v>
      </c>
      <c r="C22" s="364"/>
      <c r="D22" s="417"/>
      <c r="E22" s="418"/>
      <c r="F22" s="367"/>
    </row>
    <row r="23" spans="1:6" ht="15.75" thickBot="1" x14ac:dyDescent="0.3">
      <c r="A23" s="423" t="s">
        <v>19</v>
      </c>
      <c r="B23" s="424" t="s">
        <v>42</v>
      </c>
      <c r="C23" s="364"/>
      <c r="D23" s="422"/>
      <c r="E23" s="418"/>
      <c r="F23" s="385"/>
    </row>
    <row r="24" spans="1:6" s="189" customFormat="1" thickBot="1" x14ac:dyDescent="0.25">
      <c r="A24" s="412" t="s">
        <v>20</v>
      </c>
      <c r="B24" s="413" t="s">
        <v>21</v>
      </c>
      <c r="C24" s="362">
        <f>C25+C28+C29+C30</f>
        <v>102821</v>
      </c>
      <c r="D24" s="362">
        <f>D25+D28+D29+D30</f>
        <v>102821</v>
      </c>
      <c r="E24" s="414">
        <f>E25+E28+E29+E30</f>
        <v>101376.80799999999</v>
      </c>
      <c r="F24" s="384">
        <f t="shared" si="0"/>
        <v>0.98595430894467073</v>
      </c>
    </row>
    <row r="25" spans="1:6" x14ac:dyDescent="0.25">
      <c r="A25" s="415" t="s">
        <v>22</v>
      </c>
      <c r="B25" s="416" t="s">
        <v>44</v>
      </c>
      <c r="C25" s="364">
        <f>SUM(C26:C27)</f>
        <v>91027</v>
      </c>
      <c r="D25" s="417">
        <f>SUM(D26:D27)</f>
        <v>91027</v>
      </c>
      <c r="E25" s="417">
        <f>SUM(E26:E27)</f>
        <v>90584.695999999996</v>
      </c>
      <c r="F25" s="383">
        <f t="shared" si="0"/>
        <v>0.99514095817724413</v>
      </c>
    </row>
    <row r="26" spans="1:6" x14ac:dyDescent="0.25">
      <c r="A26" s="419" t="s">
        <v>23</v>
      </c>
      <c r="B26" s="420" t="s">
        <v>45</v>
      </c>
      <c r="C26" s="364">
        <v>44</v>
      </c>
      <c r="D26" s="421">
        <v>44</v>
      </c>
      <c r="E26" s="418">
        <v>90.048000000000002</v>
      </c>
      <c r="F26" s="367">
        <f t="shared" si="0"/>
        <v>2.0465454545454547</v>
      </c>
    </row>
    <row r="27" spans="1:6" x14ac:dyDescent="0.25">
      <c r="A27" s="419" t="s">
        <v>24</v>
      </c>
      <c r="B27" s="420" t="s">
        <v>47</v>
      </c>
      <c r="C27" s="364">
        <v>90983</v>
      </c>
      <c r="D27" s="421">
        <v>90983</v>
      </c>
      <c r="E27" s="418">
        <v>90494.648000000001</v>
      </c>
      <c r="F27" s="367">
        <f t="shared" si="0"/>
        <v>0.99463249178417945</v>
      </c>
    </row>
    <row r="28" spans="1:6" x14ac:dyDescent="0.25">
      <c r="A28" s="419" t="s">
        <v>26</v>
      </c>
      <c r="B28" s="420" t="s">
        <v>48</v>
      </c>
      <c r="C28" s="364">
        <v>10605</v>
      </c>
      <c r="D28" s="421">
        <v>10605</v>
      </c>
      <c r="E28" s="418">
        <v>9717.7939999999999</v>
      </c>
      <c r="F28" s="367">
        <f t="shared" si="0"/>
        <v>0.91634078264969354</v>
      </c>
    </row>
    <row r="29" spans="1:6" x14ac:dyDescent="0.25">
      <c r="A29" s="419" t="s">
        <v>27</v>
      </c>
      <c r="B29" s="420" t="s">
        <v>49</v>
      </c>
      <c r="C29" s="364">
        <v>700</v>
      </c>
      <c r="D29" s="421">
        <v>700</v>
      </c>
      <c r="E29" s="418">
        <v>459.73899999999998</v>
      </c>
      <c r="F29" s="367">
        <f t="shared" si="0"/>
        <v>0.65676999999999996</v>
      </c>
    </row>
    <row r="30" spans="1:6" ht="15.75" thickBot="1" x14ac:dyDescent="0.3">
      <c r="A30" s="423" t="s">
        <v>28</v>
      </c>
      <c r="B30" s="424" t="s">
        <v>50</v>
      </c>
      <c r="C30" s="364">
        <v>489</v>
      </c>
      <c r="D30" s="421">
        <v>489</v>
      </c>
      <c r="E30" s="425">
        <v>614.57899999999995</v>
      </c>
      <c r="F30" s="385">
        <f t="shared" si="0"/>
        <v>1.2568077709611452</v>
      </c>
    </row>
    <row r="31" spans="1:6" s="189" customFormat="1" thickBot="1" x14ac:dyDescent="0.25">
      <c r="A31" s="412" t="s">
        <v>29</v>
      </c>
      <c r="B31" s="426" t="s">
        <v>51</v>
      </c>
      <c r="C31" s="380">
        <v>27587.3</v>
      </c>
      <c r="D31" s="414">
        <v>27587.3</v>
      </c>
      <c r="E31" s="394">
        <v>26455.577000000001</v>
      </c>
      <c r="F31" s="384">
        <f t="shared" si="0"/>
        <v>0.95897666679957816</v>
      </c>
    </row>
    <row r="32" spans="1:6" s="189" customFormat="1" thickBot="1" x14ac:dyDescent="0.25">
      <c r="A32" s="427" t="s">
        <v>52</v>
      </c>
      <c r="B32" s="428" t="s">
        <v>53</v>
      </c>
      <c r="C32" s="362">
        <f>'1.1.összevont'!D32-'1.3.önként'!C33-'1.4.államigazg'!C33</f>
        <v>0</v>
      </c>
      <c r="D32" s="414">
        <f>'1.1.összevont'!E32-'1.3.önként'!D33-'1.4.államigazg'!D33</f>
        <v>0</v>
      </c>
      <c r="E32" s="394"/>
      <c r="F32" s="384"/>
    </row>
    <row r="33" spans="1:6" s="189" customFormat="1" ht="15.75" thickBot="1" x14ac:dyDescent="0.3">
      <c r="A33" s="412" t="s">
        <v>54</v>
      </c>
      <c r="B33" s="413" t="s">
        <v>160</v>
      </c>
      <c r="C33" s="362"/>
      <c r="D33" s="414"/>
      <c r="E33" s="429"/>
      <c r="F33" s="392"/>
    </row>
    <row r="34" spans="1:6" s="189" customFormat="1" ht="15.75" thickBot="1" x14ac:dyDescent="0.3">
      <c r="A34" s="412" t="s">
        <v>56</v>
      </c>
      <c r="B34" s="413" t="s">
        <v>57</v>
      </c>
      <c r="C34" s="362">
        <f>'1.1.összevont'!D34-'1.3.önként'!C35-'1.4.államigazg'!C35</f>
        <v>0</v>
      </c>
      <c r="D34" s="414">
        <v>0</v>
      </c>
      <c r="E34" s="394"/>
      <c r="F34" s="390"/>
    </row>
    <row r="35" spans="1:6" s="189" customFormat="1" thickBot="1" x14ac:dyDescent="0.25">
      <c r="A35" s="412" t="s">
        <v>58</v>
      </c>
      <c r="B35" s="413" t="s">
        <v>137</v>
      </c>
      <c r="C35" s="362">
        <f>C9+C16+C20+C24+C31+C32+C33+C34</f>
        <v>503942.87900000002</v>
      </c>
      <c r="D35" s="414">
        <f>D9+D16+D20+D24+D31+D32+D33+D34</f>
        <v>514973.74099999998</v>
      </c>
      <c r="E35" s="414">
        <f>E9+E16+E20+E24+E31+E32+E33+E34</f>
        <v>418196.234</v>
      </c>
      <c r="F35" s="384">
        <f t="shared" si="0"/>
        <v>0.81207292858841129</v>
      </c>
    </row>
    <row r="36" spans="1:6" s="189" customFormat="1" ht="15.75" thickBot="1" x14ac:dyDescent="0.3">
      <c r="A36" s="412" t="s">
        <v>59</v>
      </c>
      <c r="B36" s="413" t="s">
        <v>60</v>
      </c>
      <c r="C36" s="362">
        <f>SUM(C37:C39)</f>
        <v>0</v>
      </c>
      <c r="D36" s="414">
        <f>SUM(D37:D39)</f>
        <v>0</v>
      </c>
      <c r="E36" s="414">
        <f>SUM(E37:E39)</f>
        <v>0</v>
      </c>
      <c r="F36" s="383"/>
    </row>
    <row r="37" spans="1:6" x14ac:dyDescent="0.25">
      <c r="A37" s="415" t="s">
        <v>61</v>
      </c>
      <c r="B37" s="416" t="s">
        <v>62</v>
      </c>
      <c r="C37" s="364"/>
      <c r="D37" s="431"/>
      <c r="E37" s="418"/>
      <c r="F37" s="367"/>
    </row>
    <row r="38" spans="1:6" x14ac:dyDescent="0.25">
      <c r="A38" s="419" t="s">
        <v>63</v>
      </c>
      <c r="B38" s="420" t="s">
        <v>64</v>
      </c>
      <c r="C38" s="364"/>
      <c r="D38" s="421"/>
      <c r="E38" s="418"/>
      <c r="F38" s="367"/>
    </row>
    <row r="39" spans="1:6" ht="15.75" thickBot="1" x14ac:dyDescent="0.3">
      <c r="A39" s="423" t="s">
        <v>65</v>
      </c>
      <c r="B39" s="424" t="s">
        <v>66</v>
      </c>
      <c r="C39" s="364"/>
      <c r="D39" s="421"/>
      <c r="E39" s="425"/>
      <c r="F39" s="385"/>
    </row>
    <row r="40" spans="1:6" s="189" customFormat="1" ht="15.75" thickBot="1" x14ac:dyDescent="0.3">
      <c r="A40" s="412" t="s">
        <v>67</v>
      </c>
      <c r="B40" s="413" t="s">
        <v>68</v>
      </c>
      <c r="C40" s="362"/>
      <c r="D40" s="432"/>
      <c r="E40" s="394"/>
      <c r="F40" s="390"/>
    </row>
    <row r="41" spans="1:6" s="189" customFormat="1" thickBot="1" x14ac:dyDescent="0.25">
      <c r="A41" s="412" t="s">
        <v>69</v>
      </c>
      <c r="B41" s="413" t="s">
        <v>386</v>
      </c>
      <c r="C41" s="362">
        <v>22555.454000000002</v>
      </c>
      <c r="D41" s="414">
        <v>28212.969000000001</v>
      </c>
      <c r="E41" s="394">
        <v>28212.969000000001</v>
      </c>
      <c r="F41" s="384">
        <f t="shared" si="0"/>
        <v>1</v>
      </c>
    </row>
    <row r="42" spans="1:6" s="189" customFormat="1" ht="15.75" thickBot="1" x14ac:dyDescent="0.3">
      <c r="A42" s="412" t="s">
        <v>71</v>
      </c>
      <c r="B42" s="413" t="s">
        <v>72</v>
      </c>
      <c r="C42" s="362"/>
      <c r="D42" s="433"/>
      <c r="E42" s="394"/>
      <c r="F42" s="390"/>
    </row>
    <row r="43" spans="1:6" x14ac:dyDescent="0.25">
      <c r="A43" s="415" t="s">
        <v>73</v>
      </c>
      <c r="B43" s="416" t="s">
        <v>74</v>
      </c>
      <c r="C43" s="364"/>
      <c r="D43" s="434"/>
      <c r="E43" s="435"/>
      <c r="F43" s="383"/>
    </row>
    <row r="44" spans="1:6" ht="15.75" thickBot="1" x14ac:dyDescent="0.3">
      <c r="A44" s="423" t="s">
        <v>75</v>
      </c>
      <c r="B44" s="424" t="s">
        <v>76</v>
      </c>
      <c r="C44" s="364"/>
      <c r="D44" s="436"/>
      <c r="E44" s="425"/>
      <c r="F44" s="385"/>
    </row>
    <row r="45" spans="1:6" s="189" customFormat="1" ht="15.75" thickBot="1" x14ac:dyDescent="0.3">
      <c r="A45" s="412" t="s">
        <v>77</v>
      </c>
      <c r="B45" s="413" t="s">
        <v>78</v>
      </c>
      <c r="C45" s="362">
        <f>'1.1.összevont'!D45-'1.3.önként'!C46-'1.4.államigazg'!C46</f>
        <v>0</v>
      </c>
      <c r="D45" s="362">
        <f>'1.1.összevont'!E45-'1.3.önként'!D46-'1.4.államigazg'!D46</f>
        <v>0</v>
      </c>
      <c r="E45" s="362">
        <f>'1.1.összevont'!F45-'1.3.önként'!E46-'1.4.államigazg'!E46</f>
        <v>0</v>
      </c>
      <c r="F45" s="390"/>
    </row>
    <row r="46" spans="1:6" s="189" customFormat="1" ht="15.75" thickBot="1" x14ac:dyDescent="0.3">
      <c r="A46" s="412" t="s">
        <v>79</v>
      </c>
      <c r="B46" s="413" t="s">
        <v>80</v>
      </c>
      <c r="C46" s="362">
        <f>'1.1.összevont'!D46-'1.3.önként'!C47-'1.4.államigazg'!C47</f>
        <v>0</v>
      </c>
      <c r="D46" s="362">
        <f>'1.1.összevont'!E46-'1.3.önként'!D47-'1.4.államigazg'!D47</f>
        <v>0</v>
      </c>
      <c r="E46" s="362">
        <f>'1.1.összevont'!F46-'1.3.önként'!E47-'1.4.államigazg'!E47</f>
        <v>0</v>
      </c>
      <c r="F46" s="390"/>
    </row>
    <row r="47" spans="1:6" s="189" customFormat="1" ht="15.75" thickBot="1" x14ac:dyDescent="0.3">
      <c r="A47" s="412" t="s">
        <v>81</v>
      </c>
      <c r="B47" s="413" t="s">
        <v>82</v>
      </c>
      <c r="C47" s="362">
        <f>'1.1.összevont'!D47-'1.3.önként'!C48-'1.4.államigazg'!C48</f>
        <v>0</v>
      </c>
      <c r="D47" s="362">
        <f>'1.1.összevont'!E47-'1.3.önként'!D48-'1.4.államigazg'!D48</f>
        <v>0</v>
      </c>
      <c r="E47" s="362">
        <f>'1.1.összevont'!F47-'1.3.önként'!E48-'1.4.államigazg'!E48</f>
        <v>0</v>
      </c>
      <c r="F47" s="390"/>
    </row>
    <row r="48" spans="1:6" s="189" customFormat="1" thickBot="1" x14ac:dyDescent="0.25">
      <c r="A48" s="412" t="s">
        <v>83</v>
      </c>
      <c r="B48" s="413" t="s">
        <v>84</v>
      </c>
      <c r="C48" s="362">
        <f>C36+C40+C41+C42+C45+C46+C47</f>
        <v>22555.454000000002</v>
      </c>
      <c r="D48" s="414">
        <f>D36+D40+D41+D42+D45+D46+D47</f>
        <v>28212.969000000001</v>
      </c>
      <c r="E48" s="437">
        <f>E36+E40+E41+E42+E45+E46+E47</f>
        <v>28212.969000000001</v>
      </c>
      <c r="F48" s="384">
        <f t="shared" si="0"/>
        <v>1</v>
      </c>
    </row>
    <row r="49" spans="1:6" s="442" customFormat="1" ht="29.25" thickBot="1" x14ac:dyDescent="0.3">
      <c r="A49" s="406" t="s">
        <v>85</v>
      </c>
      <c r="B49" s="438" t="s">
        <v>86</v>
      </c>
      <c r="C49" s="439">
        <f>C35+C48</f>
        <v>526498.33299999998</v>
      </c>
      <c r="D49" s="440">
        <f>D35+D48</f>
        <v>543186.71</v>
      </c>
      <c r="E49" s="441">
        <f>E35+E48</f>
        <v>446409.20299999998</v>
      </c>
      <c r="F49" s="460">
        <f t="shared" si="0"/>
        <v>0.82183380922556082</v>
      </c>
    </row>
    <row r="51" spans="1:6" x14ac:dyDescent="0.25">
      <c r="A51" s="546" t="s">
        <v>88</v>
      </c>
      <c r="B51" s="546"/>
      <c r="C51" s="546"/>
      <c r="D51" s="546"/>
      <c r="E51" s="546"/>
      <c r="F51" s="546"/>
    </row>
    <row r="52" spans="1:6" ht="15.75" thickBot="1" x14ac:dyDescent="0.3">
      <c r="A52" s="403" t="s">
        <v>89</v>
      </c>
      <c r="B52" s="189"/>
      <c r="C52" s="404"/>
    </row>
    <row r="53" spans="1:6" ht="30" thickBot="1" x14ac:dyDescent="0.3">
      <c r="A53" s="444" t="s">
        <v>4</v>
      </c>
      <c r="B53" s="413" t="s">
        <v>90</v>
      </c>
      <c r="C53" s="360" t="s">
        <v>391</v>
      </c>
      <c r="D53" s="411" t="s">
        <v>392</v>
      </c>
      <c r="E53" s="343" t="s">
        <v>393</v>
      </c>
      <c r="F53" s="337" t="s">
        <v>394</v>
      </c>
    </row>
    <row r="54" spans="1:6" ht="15.75" thickBot="1" x14ac:dyDescent="0.3">
      <c r="A54" s="412" t="s">
        <v>3</v>
      </c>
      <c r="B54" s="413" t="s">
        <v>108</v>
      </c>
      <c r="C54" s="362">
        <f>C55+C56+C57+C58+C59+C65</f>
        <v>477160.6</v>
      </c>
      <c r="D54" s="414">
        <f>D55+D56+D57+D58+D59+D65</f>
        <v>492198.54099999997</v>
      </c>
      <c r="E54" s="414">
        <f>E55+E56+E57+E58+E59+E65</f>
        <v>336304.38</v>
      </c>
      <c r="F54" s="384">
        <f>E54/D54</f>
        <v>0.68326976206944923</v>
      </c>
    </row>
    <row r="55" spans="1:6" x14ac:dyDescent="0.25">
      <c r="A55" s="445" t="s">
        <v>6</v>
      </c>
      <c r="B55" s="416" t="s">
        <v>91</v>
      </c>
      <c r="C55" s="364">
        <v>271777</v>
      </c>
      <c r="D55" s="417">
        <v>280846.68199999997</v>
      </c>
      <c r="E55" s="418">
        <v>202643.617</v>
      </c>
      <c r="F55" s="383">
        <f t="shared" ref="F55:F88" si="1">E55/D55</f>
        <v>0.72154534836199358</v>
      </c>
    </row>
    <row r="56" spans="1:6" x14ac:dyDescent="0.25">
      <c r="A56" s="446" t="s">
        <v>7</v>
      </c>
      <c r="B56" s="420" t="s">
        <v>92</v>
      </c>
      <c r="C56" s="364">
        <v>45678.8</v>
      </c>
      <c r="D56" s="417">
        <v>47427.591</v>
      </c>
      <c r="E56" s="418">
        <v>33518.800999999999</v>
      </c>
      <c r="F56" s="367">
        <f t="shared" si="1"/>
        <v>0.7067363172630885</v>
      </c>
    </row>
    <row r="57" spans="1:6" x14ac:dyDescent="0.25">
      <c r="A57" s="446" t="s">
        <v>8</v>
      </c>
      <c r="B57" s="420" t="s">
        <v>93</v>
      </c>
      <c r="C57" s="364">
        <v>128939.7</v>
      </c>
      <c r="D57" s="417">
        <v>129931.38800000001</v>
      </c>
      <c r="E57" s="418">
        <v>79438.346999999994</v>
      </c>
      <c r="F57" s="367">
        <f t="shared" si="1"/>
        <v>0.61138688828599286</v>
      </c>
    </row>
    <row r="58" spans="1:6" x14ac:dyDescent="0.25">
      <c r="A58" s="446" t="s">
        <v>9</v>
      </c>
      <c r="B58" s="420" t="s">
        <v>94</v>
      </c>
      <c r="C58" s="364">
        <v>2000</v>
      </c>
      <c r="D58" s="417">
        <v>2707.78</v>
      </c>
      <c r="E58" s="418">
        <v>1228.8119999999999</v>
      </c>
      <c r="F58" s="367">
        <f t="shared" si="1"/>
        <v>0.45380791644816043</v>
      </c>
    </row>
    <row r="59" spans="1:6" x14ac:dyDescent="0.25">
      <c r="A59" s="446" t="s">
        <v>10</v>
      </c>
      <c r="B59" s="420" t="s">
        <v>95</v>
      </c>
      <c r="C59" s="364">
        <f>SUM(C60:C64)</f>
        <v>28765.1</v>
      </c>
      <c r="D59" s="417">
        <f>SUM(D60:D64)</f>
        <v>31285.1</v>
      </c>
      <c r="E59" s="417">
        <f>SUM(E60:E64)</f>
        <v>19474.803</v>
      </c>
      <c r="F59" s="367">
        <f t="shared" si="1"/>
        <v>0.6224945101661814</v>
      </c>
    </row>
    <row r="60" spans="1:6" x14ac:dyDescent="0.25">
      <c r="A60" s="446" t="s">
        <v>11</v>
      </c>
      <c r="B60" s="447" t="s">
        <v>370</v>
      </c>
      <c r="C60" s="364">
        <v>3000</v>
      </c>
      <c r="D60" s="417">
        <v>3000</v>
      </c>
      <c r="E60" s="418">
        <v>2617.3420000000001</v>
      </c>
      <c r="F60" s="367">
        <f t="shared" si="1"/>
        <v>0.87244733333333335</v>
      </c>
    </row>
    <row r="61" spans="1:6" x14ac:dyDescent="0.25">
      <c r="A61" s="446" t="s">
        <v>97</v>
      </c>
      <c r="B61" s="420" t="s">
        <v>103</v>
      </c>
      <c r="C61" s="364"/>
      <c r="D61" s="417"/>
      <c r="E61" s="418"/>
      <c r="F61" s="367"/>
    </row>
    <row r="62" spans="1:6" x14ac:dyDescent="0.25">
      <c r="A62" s="446" t="s">
        <v>98</v>
      </c>
      <c r="B62" s="420" t="s">
        <v>138</v>
      </c>
      <c r="C62" s="364"/>
      <c r="D62" s="417"/>
      <c r="E62" s="418"/>
      <c r="F62" s="367"/>
    </row>
    <row r="63" spans="1:6" x14ac:dyDescent="0.25">
      <c r="A63" s="446" t="s">
        <v>99</v>
      </c>
      <c r="B63" s="420" t="s">
        <v>139</v>
      </c>
      <c r="C63" s="364">
        <v>2903</v>
      </c>
      <c r="D63" s="417">
        <v>2903</v>
      </c>
      <c r="E63" s="418">
        <v>2874.6329999999998</v>
      </c>
      <c r="F63" s="367">
        <f t="shared" si="1"/>
        <v>0.99022838442990002</v>
      </c>
    </row>
    <row r="64" spans="1:6" x14ac:dyDescent="0.25">
      <c r="A64" s="446" t="s">
        <v>100</v>
      </c>
      <c r="B64" s="420" t="s">
        <v>140</v>
      </c>
      <c r="C64" s="364">
        <v>22862.1</v>
      </c>
      <c r="D64" s="417">
        <v>25382.1</v>
      </c>
      <c r="E64" s="418">
        <v>13982.828</v>
      </c>
      <c r="F64" s="367">
        <f t="shared" si="1"/>
        <v>0.55089326730254784</v>
      </c>
    </row>
    <row r="65" spans="1:6" x14ac:dyDescent="0.25">
      <c r="A65" s="446" t="s">
        <v>101</v>
      </c>
      <c r="B65" s="420" t="s">
        <v>102</v>
      </c>
      <c r="C65" s="364">
        <f>SUM(C66:C67)</f>
        <v>0</v>
      </c>
      <c r="D65" s="364">
        <f>SUM(D66:D67)</f>
        <v>0</v>
      </c>
      <c r="E65" s="418"/>
      <c r="F65" s="367"/>
    </row>
    <row r="66" spans="1:6" x14ac:dyDescent="0.25">
      <c r="A66" s="446" t="s">
        <v>104</v>
      </c>
      <c r="B66" s="420" t="s">
        <v>105</v>
      </c>
      <c r="C66" s="364"/>
      <c r="D66" s="417"/>
      <c r="E66" s="418"/>
      <c r="F66" s="367"/>
    </row>
    <row r="67" spans="1:6" ht="15.75" thickBot="1" x14ac:dyDescent="0.3">
      <c r="A67" s="448" t="s">
        <v>106</v>
      </c>
      <c r="B67" s="424" t="s">
        <v>107</v>
      </c>
      <c r="C67" s="364"/>
      <c r="D67" s="417"/>
      <c r="E67" s="418"/>
      <c r="F67" s="385"/>
    </row>
    <row r="68" spans="1:6" ht="15.75" thickBot="1" x14ac:dyDescent="0.3">
      <c r="A68" s="412" t="s">
        <v>5</v>
      </c>
      <c r="B68" s="413" t="s">
        <v>121</v>
      </c>
      <c r="C68" s="362">
        <f>C69+C71+C73</f>
        <v>38410</v>
      </c>
      <c r="D68" s="414">
        <f>D69+D71+D73</f>
        <v>42980.351999999999</v>
      </c>
      <c r="E68" s="414">
        <f>E69+E71+E73</f>
        <v>28305.916000000001</v>
      </c>
      <c r="F68" s="384">
        <f t="shared" si="1"/>
        <v>0.65857804049627144</v>
      </c>
    </row>
    <row r="69" spans="1:6" x14ac:dyDescent="0.25">
      <c r="A69" s="445" t="s">
        <v>12</v>
      </c>
      <c r="B69" s="416" t="s">
        <v>109</v>
      </c>
      <c r="C69" s="364">
        <v>15767</v>
      </c>
      <c r="D69" s="417">
        <v>16110</v>
      </c>
      <c r="E69" s="418">
        <v>3859.6590000000001</v>
      </c>
      <c r="F69" s="383">
        <f t="shared" si="1"/>
        <v>0.23958156424581006</v>
      </c>
    </row>
    <row r="70" spans="1:6" x14ac:dyDescent="0.25">
      <c r="A70" s="446" t="s">
        <v>110</v>
      </c>
      <c r="B70" s="420" t="s">
        <v>111</v>
      </c>
      <c r="C70" s="364"/>
      <c r="D70" s="417"/>
      <c r="E70" s="418"/>
      <c r="F70" s="367"/>
    </row>
    <row r="71" spans="1:6" x14ac:dyDescent="0.25">
      <c r="A71" s="446" t="s">
        <v>14</v>
      </c>
      <c r="B71" s="420" t="s">
        <v>112</v>
      </c>
      <c r="C71" s="364">
        <v>22643</v>
      </c>
      <c r="D71" s="417">
        <v>26870.351999999999</v>
      </c>
      <c r="E71" s="418">
        <v>24446.257000000001</v>
      </c>
      <c r="F71" s="367">
        <f t="shared" si="1"/>
        <v>0.90978551378858019</v>
      </c>
    </row>
    <row r="72" spans="1:6" x14ac:dyDescent="0.25">
      <c r="A72" s="446" t="s">
        <v>113</v>
      </c>
      <c r="B72" s="420" t="s">
        <v>114</v>
      </c>
      <c r="C72" s="364"/>
      <c r="D72" s="417"/>
      <c r="E72" s="418"/>
      <c r="F72" s="367"/>
    </row>
    <row r="73" spans="1:6" x14ac:dyDescent="0.25">
      <c r="A73" s="446" t="s">
        <v>115</v>
      </c>
      <c r="B73" s="420" t="s">
        <v>116</v>
      </c>
      <c r="C73" s="364">
        <f>SUM(C74:C75)</f>
        <v>0</v>
      </c>
      <c r="D73" s="417">
        <f>SUM(D74:D75)</f>
        <v>0</v>
      </c>
      <c r="E73" s="417">
        <f>SUM(E74:E75)</f>
        <v>0</v>
      </c>
      <c r="F73" s="367"/>
    </row>
    <row r="74" spans="1:6" x14ac:dyDescent="0.25">
      <c r="A74" s="446" t="s">
        <v>117</v>
      </c>
      <c r="B74" s="420" t="s">
        <v>118</v>
      </c>
      <c r="C74" s="364"/>
      <c r="D74" s="417"/>
      <c r="E74" s="418"/>
      <c r="F74" s="367"/>
    </row>
    <row r="75" spans="1:6" ht="15.75" thickBot="1" x14ac:dyDescent="0.3">
      <c r="A75" s="448" t="s">
        <v>119</v>
      </c>
      <c r="B75" s="424" t="s">
        <v>120</v>
      </c>
      <c r="C75" s="364"/>
      <c r="D75" s="417"/>
      <c r="E75" s="418"/>
      <c r="F75" s="385"/>
    </row>
    <row r="76" spans="1:6" ht="15.75" thickBot="1" x14ac:dyDescent="0.3">
      <c r="A76" s="412" t="s">
        <v>15</v>
      </c>
      <c r="B76" s="413" t="s">
        <v>122</v>
      </c>
      <c r="C76" s="362">
        <f>C54+C68</f>
        <v>515570.6</v>
      </c>
      <c r="D76" s="414">
        <f>D54+D68</f>
        <v>535178.89299999992</v>
      </c>
      <c r="E76" s="414">
        <f>E54+E68</f>
        <v>364610.29600000003</v>
      </c>
      <c r="F76" s="384">
        <f t="shared" si="1"/>
        <v>0.68128676367660879</v>
      </c>
    </row>
    <row r="77" spans="1:6" ht="15.75" thickBot="1" x14ac:dyDescent="0.3">
      <c r="A77" s="412" t="s">
        <v>20</v>
      </c>
      <c r="B77" s="413" t="s">
        <v>126</v>
      </c>
      <c r="C77" s="362">
        <f>SUM(C78:C80)</f>
        <v>0</v>
      </c>
      <c r="D77" s="362">
        <f t="shared" ref="D77:E77" si="2">SUM(D78:D80)</f>
        <v>0</v>
      </c>
      <c r="E77" s="362">
        <f t="shared" si="2"/>
        <v>0</v>
      </c>
      <c r="F77" s="384"/>
    </row>
    <row r="78" spans="1:6" x14ac:dyDescent="0.25">
      <c r="A78" s="445" t="s">
        <v>22</v>
      </c>
      <c r="B78" s="416" t="s">
        <v>123</v>
      </c>
      <c r="C78" s="364"/>
      <c r="D78" s="421"/>
      <c r="E78" s="418"/>
      <c r="F78" s="383"/>
    </row>
    <row r="79" spans="1:6" x14ac:dyDescent="0.25">
      <c r="A79" s="446" t="s">
        <v>26</v>
      </c>
      <c r="B79" s="420" t="s">
        <v>124</v>
      </c>
      <c r="C79" s="364"/>
      <c r="D79" s="417"/>
      <c r="E79" s="418"/>
      <c r="F79" s="367"/>
    </row>
    <row r="80" spans="1:6" ht="15.75" thickBot="1" x14ac:dyDescent="0.3">
      <c r="A80" s="448" t="s">
        <v>27</v>
      </c>
      <c r="B80" s="424" t="s">
        <v>125</v>
      </c>
      <c r="C80" s="364"/>
      <c r="D80" s="449"/>
      <c r="E80" s="425"/>
      <c r="F80" s="385"/>
    </row>
    <row r="81" spans="1:6" ht="15.75" thickBot="1" x14ac:dyDescent="0.3">
      <c r="A81" s="450" t="s">
        <v>29</v>
      </c>
      <c r="B81" s="451" t="s">
        <v>127</v>
      </c>
      <c r="C81" s="380"/>
      <c r="D81" s="452"/>
      <c r="E81" s="459"/>
      <c r="F81" s="390"/>
    </row>
    <row r="82" spans="1:6" ht="15.75" thickBot="1" x14ac:dyDescent="0.3">
      <c r="A82" s="412" t="s">
        <v>52</v>
      </c>
      <c r="B82" s="413" t="s">
        <v>130</v>
      </c>
      <c r="C82" s="362">
        <f>C83</f>
        <v>10927.733</v>
      </c>
      <c r="D82" s="414">
        <f>D83</f>
        <v>10927.733</v>
      </c>
      <c r="E82" s="414">
        <f>E83</f>
        <v>10927.733</v>
      </c>
      <c r="F82" s="384">
        <f t="shared" si="1"/>
        <v>1</v>
      </c>
    </row>
    <row r="83" spans="1:6" ht="15.75" thickBot="1" x14ac:dyDescent="0.3">
      <c r="A83" s="453" t="s">
        <v>128</v>
      </c>
      <c r="B83" s="454" t="s">
        <v>129</v>
      </c>
      <c r="C83" s="376">
        <v>10927.733</v>
      </c>
      <c r="D83" s="455">
        <v>10927.733</v>
      </c>
      <c r="E83" s="425">
        <v>10927.733</v>
      </c>
      <c r="F83" s="392">
        <f t="shared" si="1"/>
        <v>1</v>
      </c>
    </row>
    <row r="84" spans="1:6" ht="15.75" thickBot="1" x14ac:dyDescent="0.3">
      <c r="A84" s="412" t="s">
        <v>54</v>
      </c>
      <c r="B84" s="413" t="s">
        <v>131</v>
      </c>
      <c r="C84" s="362"/>
      <c r="D84" s="452"/>
      <c r="E84" s="459"/>
      <c r="F84" s="390"/>
    </row>
    <row r="85" spans="1:6" ht="15.75" thickBot="1" x14ac:dyDescent="0.3">
      <c r="A85" s="412" t="s">
        <v>56</v>
      </c>
      <c r="B85" s="413" t="s">
        <v>132</v>
      </c>
      <c r="C85" s="362"/>
      <c r="D85" s="452"/>
      <c r="E85" s="459"/>
      <c r="F85" s="390"/>
    </row>
    <row r="86" spans="1:6" ht="15.75" thickBot="1" x14ac:dyDescent="0.3">
      <c r="A86" s="412" t="s">
        <v>133</v>
      </c>
      <c r="B86" s="413" t="s">
        <v>134</v>
      </c>
      <c r="C86" s="362"/>
      <c r="D86" s="452"/>
      <c r="E86" s="459"/>
      <c r="F86" s="390"/>
    </row>
    <row r="87" spans="1:6" ht="15.75" thickBot="1" x14ac:dyDescent="0.3">
      <c r="A87" s="412" t="s">
        <v>59</v>
      </c>
      <c r="B87" s="413" t="s">
        <v>135</v>
      </c>
      <c r="C87" s="362">
        <f>C77+C81+C82+C84+C85+C86</f>
        <v>10927.733</v>
      </c>
      <c r="D87" s="414">
        <f>D77+D81+D82+D84+D85+D86</f>
        <v>10927.733</v>
      </c>
      <c r="E87" s="414">
        <f>E77+E81+E82+E84+E85+E86</f>
        <v>10927.733</v>
      </c>
      <c r="F87" s="384">
        <f t="shared" si="1"/>
        <v>1</v>
      </c>
    </row>
    <row r="88" spans="1:6" ht="15.75" thickBot="1" x14ac:dyDescent="0.3">
      <c r="A88" s="412" t="s">
        <v>67</v>
      </c>
      <c r="B88" s="413" t="s">
        <v>136</v>
      </c>
      <c r="C88" s="362">
        <f>C76+C87</f>
        <v>526498.33299999998</v>
      </c>
      <c r="D88" s="414">
        <f>D76+D87</f>
        <v>546106.62599999993</v>
      </c>
      <c r="E88" s="414">
        <f>E76+E87</f>
        <v>375538.02900000004</v>
      </c>
      <c r="F88" s="384">
        <f t="shared" si="1"/>
        <v>0.68766429689867947</v>
      </c>
    </row>
    <row r="90" spans="1:6" s="377" customFormat="1" ht="29.25" customHeight="1" x14ac:dyDescent="0.25">
      <c r="A90" s="544" t="s">
        <v>141</v>
      </c>
      <c r="B90" s="544"/>
      <c r="C90" s="544"/>
      <c r="D90" s="456"/>
      <c r="E90" s="378"/>
      <c r="F90" s="379"/>
    </row>
    <row r="91" spans="1:6" ht="15.75" thickBot="1" x14ac:dyDescent="0.3">
      <c r="A91" s="403" t="s">
        <v>142</v>
      </c>
      <c r="B91" s="189"/>
      <c r="C91" s="357"/>
    </row>
    <row r="92" spans="1:6" ht="30" thickBot="1" x14ac:dyDescent="0.3">
      <c r="A92" s="412" t="s">
        <v>3</v>
      </c>
      <c r="B92" s="457" t="s">
        <v>143</v>
      </c>
      <c r="C92" s="362">
        <f>C35-C76</f>
        <v>-11627.720999999961</v>
      </c>
      <c r="D92" s="414">
        <f>D35-D76</f>
        <v>-20205.151999999944</v>
      </c>
      <c r="E92" s="437">
        <f>E35-E76</f>
        <v>53585.937999999966</v>
      </c>
      <c r="F92" s="393"/>
    </row>
    <row r="93" spans="1:6" ht="30" thickBot="1" x14ac:dyDescent="0.3">
      <c r="A93" s="412" t="s">
        <v>5</v>
      </c>
      <c r="B93" s="457" t="s">
        <v>144</v>
      </c>
      <c r="C93" s="362">
        <f>C48-C87</f>
        <v>11627.721000000001</v>
      </c>
      <c r="D93" s="414">
        <f>D48-D87</f>
        <v>17285.236000000001</v>
      </c>
      <c r="E93" s="437">
        <f>E48-E87</f>
        <v>17285.236000000001</v>
      </c>
      <c r="F93" s="393"/>
    </row>
  </sheetData>
  <mergeCells count="7">
    <mergeCell ref="A90:C90"/>
    <mergeCell ref="A1:F1"/>
    <mergeCell ref="A2:F2"/>
    <mergeCell ref="A3:F3"/>
    <mergeCell ref="A5:F5"/>
    <mergeCell ref="A51:F51"/>
    <mergeCell ref="A4:G4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4"/>
  <sheetViews>
    <sheetView view="pageBreakPreview" topLeftCell="A66" zoomScaleNormal="100" zoomScaleSheetLayoutView="100" workbookViewId="0">
      <selection activeCell="B70" sqref="B70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5.28515625" style="164" customWidth="1"/>
    <col min="4" max="4" width="15.7109375" style="231" customWidth="1"/>
    <col min="5" max="5" width="13.7109375" style="164" bestFit="1" customWidth="1"/>
    <col min="6" max="6" width="10.5703125" style="353" bestFit="1" customWidth="1"/>
    <col min="7" max="16384" width="9.140625" style="2"/>
  </cols>
  <sheetData>
    <row r="1" spans="1:7" x14ac:dyDescent="0.25">
      <c r="A1" s="543" t="s">
        <v>397</v>
      </c>
      <c r="B1" s="543"/>
      <c r="C1" s="543"/>
      <c r="D1" s="543"/>
      <c r="E1" s="543"/>
      <c r="F1" s="543"/>
    </row>
    <row r="2" spans="1:7" s="1" customFormat="1" x14ac:dyDescent="0.25">
      <c r="A2" s="542" t="s">
        <v>0</v>
      </c>
      <c r="B2" s="542"/>
      <c r="C2" s="542"/>
      <c r="D2" s="542"/>
      <c r="E2" s="542"/>
      <c r="F2" s="542"/>
    </row>
    <row r="3" spans="1:7" s="1" customFormat="1" ht="44.25" customHeight="1" x14ac:dyDescent="0.25">
      <c r="A3" s="548" t="s">
        <v>398</v>
      </c>
      <c r="B3" s="548"/>
      <c r="C3" s="548"/>
      <c r="D3" s="548"/>
      <c r="E3" s="548"/>
      <c r="F3" s="548"/>
    </row>
    <row r="4" spans="1:7" s="1" customFormat="1" ht="15.75" customHeight="1" x14ac:dyDescent="0.25">
      <c r="A4" s="542" t="s">
        <v>536</v>
      </c>
      <c r="B4" s="542"/>
      <c r="C4" s="542"/>
      <c r="D4" s="542"/>
      <c r="E4" s="542"/>
      <c r="F4" s="542"/>
      <c r="G4" s="542"/>
    </row>
    <row r="5" spans="1:7" s="1" customFormat="1" x14ac:dyDescent="0.25">
      <c r="A5" s="542" t="s">
        <v>1</v>
      </c>
      <c r="B5" s="542"/>
      <c r="C5" s="542"/>
      <c r="D5" s="542"/>
      <c r="E5" s="542"/>
      <c r="F5" s="542"/>
    </row>
    <row r="6" spans="1:7" s="1" customFormat="1" ht="16.5" thickBot="1" x14ac:dyDescent="0.3">
      <c r="A6" s="18" t="s">
        <v>87</v>
      </c>
      <c r="C6" s="159"/>
      <c r="D6" s="232"/>
      <c r="E6" s="160"/>
      <c r="F6" s="352"/>
    </row>
    <row r="7" spans="1:7" s="3" customFormat="1" ht="16.5" thickBot="1" x14ac:dyDescent="0.3">
      <c r="A7" s="5">
        <v>1</v>
      </c>
      <c r="B7" s="6">
        <v>2</v>
      </c>
      <c r="C7" s="199">
        <v>3</v>
      </c>
      <c r="D7" s="257">
        <v>4</v>
      </c>
      <c r="E7" s="398">
        <v>5</v>
      </c>
      <c r="F7" s="398">
        <v>6</v>
      </c>
    </row>
    <row r="8" spans="1:7" s="1" customFormat="1" ht="32.25" thickBot="1" x14ac:dyDescent="0.3">
      <c r="A8" s="7" t="s">
        <v>4</v>
      </c>
      <c r="B8" s="6" t="s">
        <v>2</v>
      </c>
      <c r="C8" s="207" t="s">
        <v>391</v>
      </c>
      <c r="D8" s="258" t="s">
        <v>392</v>
      </c>
      <c r="E8" s="343" t="s">
        <v>393</v>
      </c>
      <c r="F8" s="337" t="s">
        <v>394</v>
      </c>
    </row>
    <row r="9" spans="1:7" s="1" customFormat="1" ht="16.5" thickBot="1" x14ac:dyDescent="0.3">
      <c r="A9" s="14" t="s">
        <v>3</v>
      </c>
      <c r="B9" s="9" t="s">
        <v>16</v>
      </c>
      <c r="C9" s="200">
        <f>SUM(C10:C15)</f>
        <v>34830</v>
      </c>
      <c r="D9" s="259">
        <f>SUM(D10:D15)</f>
        <v>41122</v>
      </c>
      <c r="E9" s="259">
        <f>SUM(E10:E15)</f>
        <v>30845.612000000001</v>
      </c>
      <c r="F9" s="339">
        <f>E9/D9</f>
        <v>0.75009999513642334</v>
      </c>
    </row>
    <row r="10" spans="1:7" x14ac:dyDescent="0.25">
      <c r="A10" s="15" t="s">
        <v>6</v>
      </c>
      <c r="B10" s="8" t="s">
        <v>30</v>
      </c>
      <c r="C10" s="201"/>
      <c r="D10" s="260"/>
      <c r="E10" s="162"/>
      <c r="F10" s="336"/>
    </row>
    <row r="11" spans="1:7" x14ac:dyDescent="0.25">
      <c r="A11" s="16" t="s">
        <v>7</v>
      </c>
      <c r="B11" s="4" t="s">
        <v>31</v>
      </c>
      <c r="C11" s="202"/>
      <c r="D11" s="260"/>
      <c r="E11" s="162"/>
      <c r="F11" s="334"/>
    </row>
    <row r="12" spans="1:7" x14ac:dyDescent="0.25">
      <c r="A12" s="16" t="s">
        <v>8</v>
      </c>
      <c r="B12" s="4" t="s">
        <v>32</v>
      </c>
      <c r="C12" s="202">
        <v>34830</v>
      </c>
      <c r="D12" s="260">
        <v>41122</v>
      </c>
      <c r="E12" s="162">
        <v>30845.612000000001</v>
      </c>
      <c r="F12" s="331">
        <f t="shared" ref="F12:F50" si="0">E12/D12</f>
        <v>0.75009999513642334</v>
      </c>
    </row>
    <row r="13" spans="1:7" x14ac:dyDescent="0.25">
      <c r="A13" s="16" t="s">
        <v>9</v>
      </c>
      <c r="B13" s="4" t="s">
        <v>33</v>
      </c>
      <c r="C13" s="202"/>
      <c r="D13" s="260"/>
      <c r="E13" s="162"/>
      <c r="F13" s="334"/>
    </row>
    <row r="14" spans="1:7" x14ac:dyDescent="0.25">
      <c r="A14" s="16" t="s">
        <v>10</v>
      </c>
      <c r="B14" s="4" t="s">
        <v>34</v>
      </c>
      <c r="C14" s="202"/>
      <c r="D14" s="260"/>
      <c r="E14" s="162"/>
      <c r="F14" s="334"/>
    </row>
    <row r="15" spans="1:7" ht="16.5" thickBot="1" x14ac:dyDescent="0.3">
      <c r="A15" s="17" t="s">
        <v>11</v>
      </c>
      <c r="B15" s="10" t="s">
        <v>358</v>
      </c>
      <c r="C15" s="203"/>
      <c r="D15" s="260"/>
      <c r="E15" s="162"/>
      <c r="F15" s="340"/>
    </row>
    <row r="16" spans="1:7" s="1" customFormat="1" ht="16.5" thickBot="1" x14ac:dyDescent="0.3">
      <c r="A16" s="14" t="s">
        <v>5</v>
      </c>
      <c r="B16" s="9" t="s">
        <v>39</v>
      </c>
      <c r="C16" s="200">
        <f>SUM(C17:C18)</f>
        <v>32493</v>
      </c>
      <c r="D16" s="200">
        <f>SUM(D17:D18)</f>
        <v>57239.5</v>
      </c>
      <c r="E16" s="259">
        <f>SUM(E17:E18)</f>
        <v>58739.587</v>
      </c>
      <c r="F16" s="339">
        <f t="shared" si="0"/>
        <v>1.026207199573721</v>
      </c>
    </row>
    <row r="17" spans="1:6" x14ac:dyDescent="0.25">
      <c r="A17" s="15" t="s">
        <v>12</v>
      </c>
      <c r="B17" s="8" t="s">
        <v>36</v>
      </c>
      <c r="C17" s="201"/>
      <c r="D17" s="260"/>
      <c r="E17" s="162"/>
      <c r="F17" s="336"/>
    </row>
    <row r="18" spans="1:6" x14ac:dyDescent="0.25">
      <c r="A18" s="16" t="s">
        <v>13</v>
      </c>
      <c r="B18" s="4" t="s">
        <v>37</v>
      </c>
      <c r="C18" s="202">
        <v>32493</v>
      </c>
      <c r="D18" s="260">
        <v>57239.5</v>
      </c>
      <c r="E18" s="162">
        <v>58739.587</v>
      </c>
      <c r="F18" s="331">
        <f t="shared" si="0"/>
        <v>1.026207199573721</v>
      </c>
    </row>
    <row r="19" spans="1:6" ht="16.5" thickBot="1" x14ac:dyDescent="0.3">
      <c r="A19" s="17" t="s">
        <v>14</v>
      </c>
      <c r="B19" s="10" t="s">
        <v>38</v>
      </c>
      <c r="C19" s="203">
        <v>28965</v>
      </c>
      <c r="D19" s="260">
        <v>53711.5</v>
      </c>
      <c r="E19" s="162">
        <v>40095.387999999999</v>
      </c>
      <c r="F19" s="331">
        <f t="shared" si="0"/>
        <v>0.74649540601174791</v>
      </c>
    </row>
    <row r="20" spans="1:6" s="1" customFormat="1" ht="16.5" thickBot="1" x14ac:dyDescent="0.3">
      <c r="A20" s="14" t="s">
        <v>15</v>
      </c>
      <c r="B20" s="9" t="s">
        <v>43</v>
      </c>
      <c r="C20" s="200">
        <f>SUM(C21:C22)</f>
        <v>322909</v>
      </c>
      <c r="D20" s="259">
        <f>SUM(D21:D22)</f>
        <v>313129.05499999999</v>
      </c>
      <c r="E20" s="259">
        <f>SUM(E21:E22)</f>
        <v>222109.965</v>
      </c>
      <c r="F20" s="339">
        <f t="shared" si="0"/>
        <v>0.7093240357398326</v>
      </c>
    </row>
    <row r="21" spans="1:6" x14ac:dyDescent="0.25">
      <c r="A21" s="15" t="s">
        <v>17</v>
      </c>
      <c r="B21" s="8" t="s">
        <v>40</v>
      </c>
      <c r="C21" s="201">
        <v>15000</v>
      </c>
      <c r="D21" s="260">
        <v>15000</v>
      </c>
      <c r="E21" s="162">
        <v>15000</v>
      </c>
      <c r="F21" s="336"/>
    </row>
    <row r="22" spans="1:6" x14ac:dyDescent="0.25">
      <c r="A22" s="16" t="s">
        <v>18</v>
      </c>
      <c r="B22" s="4" t="s">
        <v>41</v>
      </c>
      <c r="C22" s="202">
        <v>307909</v>
      </c>
      <c r="D22" s="260">
        <v>298129.05499999999</v>
      </c>
      <c r="E22" s="162">
        <v>207109.965</v>
      </c>
      <c r="F22" s="331">
        <f t="shared" si="0"/>
        <v>0.69469902891551449</v>
      </c>
    </row>
    <row r="23" spans="1:6" ht="16.5" thickBot="1" x14ac:dyDescent="0.3">
      <c r="A23" s="17" t="s">
        <v>19</v>
      </c>
      <c r="B23" s="10" t="s">
        <v>42</v>
      </c>
      <c r="C23" s="203">
        <v>307909</v>
      </c>
      <c r="D23" s="260">
        <v>298129.05499999999</v>
      </c>
      <c r="E23" s="162">
        <v>207109.965</v>
      </c>
      <c r="F23" s="341">
        <f t="shared" si="0"/>
        <v>0.69469902891551449</v>
      </c>
    </row>
    <row r="24" spans="1:6" s="1" customFormat="1" ht="16.5" thickBot="1" x14ac:dyDescent="0.3">
      <c r="A24" s="14" t="s">
        <v>20</v>
      </c>
      <c r="B24" s="9" t="s">
        <v>21</v>
      </c>
      <c r="C24" s="200">
        <f>C25+C29+C30+C31</f>
        <v>0</v>
      </c>
      <c r="D24" s="259">
        <f>D25+D29+D30+D31</f>
        <v>0</v>
      </c>
      <c r="E24" s="259">
        <f>E25+E29+E30+E31</f>
        <v>0</v>
      </c>
      <c r="F24" s="339"/>
    </row>
    <row r="25" spans="1:6" x14ac:dyDescent="0.25">
      <c r="A25" s="15" t="s">
        <v>22</v>
      </c>
      <c r="B25" s="8" t="s">
        <v>44</v>
      </c>
      <c r="C25" s="201">
        <f>C26+C27+C28</f>
        <v>0</v>
      </c>
      <c r="D25" s="262">
        <f>D26+D27+D28</f>
        <v>0</v>
      </c>
      <c r="E25" s="262">
        <f>E26+E27+E28</f>
        <v>0</v>
      </c>
      <c r="F25" s="336"/>
    </row>
    <row r="26" spans="1:6" x14ac:dyDescent="0.25">
      <c r="A26" s="16" t="s">
        <v>23</v>
      </c>
      <c r="B26" s="4" t="s">
        <v>45</v>
      </c>
      <c r="C26" s="202"/>
      <c r="D26" s="260"/>
      <c r="E26" s="162"/>
      <c r="F26" s="334"/>
    </row>
    <row r="27" spans="1:6" x14ac:dyDescent="0.25">
      <c r="A27" s="16" t="s">
        <v>24</v>
      </c>
      <c r="B27" s="4" t="s">
        <v>46</v>
      </c>
      <c r="C27" s="202"/>
      <c r="D27" s="260"/>
      <c r="E27" s="162"/>
      <c r="F27" s="334"/>
    </row>
    <row r="28" spans="1:6" x14ac:dyDescent="0.25">
      <c r="A28" s="16" t="s">
        <v>25</v>
      </c>
      <c r="B28" s="4" t="s">
        <v>47</v>
      </c>
      <c r="C28" s="202"/>
      <c r="D28" s="260"/>
      <c r="E28" s="162"/>
      <c r="F28" s="334"/>
    </row>
    <row r="29" spans="1:6" x14ac:dyDescent="0.25">
      <c r="A29" s="16" t="s">
        <v>26</v>
      </c>
      <c r="B29" s="4" t="s">
        <v>48</v>
      </c>
      <c r="C29" s="202"/>
      <c r="D29" s="260"/>
      <c r="E29" s="162"/>
      <c r="F29" s="334"/>
    </row>
    <row r="30" spans="1:6" x14ac:dyDescent="0.25">
      <c r="A30" s="16" t="s">
        <v>27</v>
      </c>
      <c r="B30" s="4" t="s">
        <v>49</v>
      </c>
      <c r="C30" s="202"/>
      <c r="D30" s="260"/>
      <c r="E30" s="162"/>
      <c r="F30" s="334"/>
    </row>
    <row r="31" spans="1:6" ht="16.5" thickBot="1" x14ac:dyDescent="0.3">
      <c r="A31" s="17" t="s">
        <v>28</v>
      </c>
      <c r="B31" s="10" t="s">
        <v>50</v>
      </c>
      <c r="C31" s="203"/>
      <c r="D31" s="264"/>
      <c r="E31" s="163"/>
      <c r="F31" s="340"/>
    </row>
    <row r="32" spans="1:6" s="1" customFormat="1" ht="16.5" thickBot="1" x14ac:dyDescent="0.3">
      <c r="A32" s="14" t="s">
        <v>29</v>
      </c>
      <c r="B32" s="9" t="s">
        <v>51</v>
      </c>
      <c r="C32" s="200">
        <v>33986</v>
      </c>
      <c r="D32" s="259">
        <v>33986</v>
      </c>
      <c r="E32" s="166">
        <v>25384.544000000002</v>
      </c>
      <c r="F32" s="339">
        <f t="shared" si="0"/>
        <v>0.74691178720649687</v>
      </c>
    </row>
    <row r="33" spans="1:6" s="1" customFormat="1" ht="16.5" thickBot="1" x14ac:dyDescent="0.3">
      <c r="A33" s="19" t="s">
        <v>52</v>
      </c>
      <c r="B33" s="20" t="s">
        <v>53</v>
      </c>
      <c r="C33" s="204"/>
      <c r="D33" s="395"/>
      <c r="E33" s="399"/>
      <c r="F33" s="342"/>
    </row>
    <row r="34" spans="1:6" s="1" customFormat="1" ht="16.5" thickBot="1" x14ac:dyDescent="0.3">
      <c r="A34" s="14" t="s">
        <v>54</v>
      </c>
      <c r="B34" s="9" t="s">
        <v>160</v>
      </c>
      <c r="C34" s="200">
        <v>210</v>
      </c>
      <c r="D34" s="259">
        <v>210</v>
      </c>
      <c r="E34" s="166">
        <v>258</v>
      </c>
      <c r="F34" s="339">
        <f t="shared" si="0"/>
        <v>1.2285714285714286</v>
      </c>
    </row>
    <row r="35" spans="1:6" s="1" customFormat="1" ht="16.5" thickBot="1" x14ac:dyDescent="0.3">
      <c r="A35" s="14" t="s">
        <v>56</v>
      </c>
      <c r="B35" s="9" t="s">
        <v>57</v>
      </c>
      <c r="C35" s="200"/>
      <c r="D35" s="396"/>
      <c r="E35" s="166"/>
      <c r="F35" s="339"/>
    </row>
    <row r="36" spans="1:6" s="1" customFormat="1" ht="16.5" thickBot="1" x14ac:dyDescent="0.3">
      <c r="A36" s="14" t="s">
        <v>58</v>
      </c>
      <c r="B36" s="9" t="s">
        <v>137</v>
      </c>
      <c r="C36" s="200">
        <f>C9+C16+C20+C24+C32+C33+C34+C35</f>
        <v>424428</v>
      </c>
      <c r="D36" s="259">
        <f>D9+D16+D20+D24+D32+D33+D34+D35</f>
        <v>445686.55499999999</v>
      </c>
      <c r="E36" s="259">
        <f>E9+E16+E20+E24+E32+E33+E34+E35</f>
        <v>337337.70799999998</v>
      </c>
      <c r="F36" s="339">
        <f t="shared" si="0"/>
        <v>0.75689451300589494</v>
      </c>
    </row>
    <row r="37" spans="1:6" s="1" customFormat="1" ht="16.5" thickBot="1" x14ac:dyDescent="0.3">
      <c r="A37" s="14" t="s">
        <v>59</v>
      </c>
      <c r="B37" s="9" t="s">
        <v>60</v>
      </c>
      <c r="C37" s="200">
        <f>SUM(C38:C40)</f>
        <v>0</v>
      </c>
      <c r="D37" s="259">
        <f>SUM(D38:D40)</f>
        <v>0</v>
      </c>
      <c r="E37" s="166"/>
      <c r="F37" s="339"/>
    </row>
    <row r="38" spans="1:6" x14ac:dyDescent="0.25">
      <c r="A38" s="15" t="s">
        <v>61</v>
      </c>
      <c r="B38" s="8" t="s">
        <v>62</v>
      </c>
      <c r="C38" s="201"/>
      <c r="D38" s="260"/>
      <c r="E38" s="161"/>
      <c r="F38" s="336"/>
    </row>
    <row r="39" spans="1:6" x14ac:dyDescent="0.25">
      <c r="A39" s="16" t="s">
        <v>63</v>
      </c>
      <c r="B39" s="4" t="s">
        <v>64</v>
      </c>
      <c r="C39" s="202"/>
      <c r="D39" s="260"/>
      <c r="E39" s="162"/>
      <c r="F39" s="334"/>
    </row>
    <row r="40" spans="1:6" ht="16.5" thickBot="1" x14ac:dyDescent="0.3">
      <c r="A40" s="17" t="s">
        <v>65</v>
      </c>
      <c r="B40" s="10" t="s">
        <v>66</v>
      </c>
      <c r="C40" s="203"/>
      <c r="D40" s="264"/>
      <c r="E40" s="163"/>
      <c r="F40" s="340"/>
    </row>
    <row r="41" spans="1:6" s="1" customFormat="1" ht="16.5" thickBot="1" x14ac:dyDescent="0.3">
      <c r="A41" s="14" t="s">
        <v>67</v>
      </c>
      <c r="B41" s="9" t="s">
        <v>68</v>
      </c>
      <c r="C41" s="200"/>
      <c r="D41" s="259"/>
      <c r="E41" s="166"/>
      <c r="F41" s="339"/>
    </row>
    <row r="42" spans="1:6" s="1" customFormat="1" ht="16.5" thickBot="1" x14ac:dyDescent="0.3">
      <c r="A42" s="14" t="s">
        <v>69</v>
      </c>
      <c r="B42" s="9" t="s">
        <v>70</v>
      </c>
      <c r="C42" s="200">
        <v>435418.299</v>
      </c>
      <c r="D42" s="259">
        <v>436401.68699999998</v>
      </c>
      <c r="E42" s="166">
        <v>436401.68699999998</v>
      </c>
      <c r="F42" s="339">
        <f t="shared" si="0"/>
        <v>1</v>
      </c>
    </row>
    <row r="43" spans="1:6" s="1" customFormat="1" ht="16.5" thickBot="1" x14ac:dyDescent="0.3">
      <c r="A43" s="14" t="s">
        <v>71</v>
      </c>
      <c r="B43" s="9" t="s">
        <v>72</v>
      </c>
      <c r="C43" s="200">
        <f>C44+C45</f>
        <v>0</v>
      </c>
      <c r="D43" s="259">
        <f>D44+D45</f>
        <v>0</v>
      </c>
      <c r="E43" s="259">
        <f>E44+E45</f>
        <v>0</v>
      </c>
      <c r="F43" s="339"/>
    </row>
    <row r="44" spans="1:6" x14ac:dyDescent="0.25">
      <c r="A44" s="15" t="s">
        <v>73</v>
      </c>
      <c r="B44" s="8" t="s">
        <v>74</v>
      </c>
      <c r="C44" s="201"/>
      <c r="D44" s="260"/>
      <c r="E44" s="161"/>
      <c r="F44" s="336"/>
    </row>
    <row r="45" spans="1:6" ht="16.5" thickBot="1" x14ac:dyDescent="0.3">
      <c r="A45" s="17" t="s">
        <v>75</v>
      </c>
      <c r="B45" s="10" t="s">
        <v>76</v>
      </c>
      <c r="C45" s="203"/>
      <c r="D45" s="264"/>
      <c r="E45" s="163"/>
      <c r="F45" s="340"/>
    </row>
    <row r="46" spans="1:6" s="1" customFormat="1" ht="16.5" thickBot="1" x14ac:dyDescent="0.3">
      <c r="A46" s="14" t="s">
        <v>77</v>
      </c>
      <c r="B46" s="9" t="s">
        <v>78</v>
      </c>
      <c r="C46" s="200"/>
      <c r="D46" s="259"/>
      <c r="E46" s="166"/>
      <c r="F46" s="339"/>
    </row>
    <row r="47" spans="1:6" s="1" customFormat="1" ht="16.5" thickBot="1" x14ac:dyDescent="0.3">
      <c r="A47" s="14" t="s">
        <v>79</v>
      </c>
      <c r="B47" s="9" t="s">
        <v>80</v>
      </c>
      <c r="C47" s="200"/>
      <c r="D47" s="259"/>
      <c r="E47" s="166"/>
      <c r="F47" s="339"/>
    </row>
    <row r="48" spans="1:6" s="1" customFormat="1" ht="16.5" thickBot="1" x14ac:dyDescent="0.3">
      <c r="A48" s="14" t="s">
        <v>81</v>
      </c>
      <c r="B48" s="9" t="s">
        <v>82</v>
      </c>
      <c r="C48" s="200"/>
      <c r="D48" s="259"/>
      <c r="E48" s="166"/>
      <c r="F48" s="339"/>
    </row>
    <row r="49" spans="1:6" s="1" customFormat="1" ht="16.5" thickBot="1" x14ac:dyDescent="0.3">
      <c r="A49" s="14" t="s">
        <v>83</v>
      </c>
      <c r="B49" s="9" t="s">
        <v>84</v>
      </c>
      <c r="C49" s="200">
        <f>C37+C41+C42+C43+C46+C47+C48</f>
        <v>435418.299</v>
      </c>
      <c r="D49" s="259">
        <f>D37+D41+D42+D43+D46+D47+D48</f>
        <v>436401.68699999998</v>
      </c>
      <c r="E49" s="259">
        <f>E37+E41+E42+E43+E46+E47+E48</f>
        <v>436401.68699999998</v>
      </c>
      <c r="F49" s="339">
        <f t="shared" si="0"/>
        <v>1</v>
      </c>
    </row>
    <row r="50" spans="1:6" s="1" customFormat="1" ht="32.25" thickBot="1" x14ac:dyDescent="0.3">
      <c r="A50" s="14" t="s">
        <v>85</v>
      </c>
      <c r="B50" s="11" t="s">
        <v>86</v>
      </c>
      <c r="C50" s="200">
        <f>C36+C49</f>
        <v>859846.299</v>
      </c>
      <c r="D50" s="259">
        <f>D36+D49</f>
        <v>882088.24199999997</v>
      </c>
      <c r="E50" s="259">
        <f>E36+E49</f>
        <v>773739.39500000002</v>
      </c>
      <c r="F50" s="339">
        <f t="shared" si="0"/>
        <v>0.87716779133759282</v>
      </c>
    </row>
    <row r="52" spans="1:6" x14ac:dyDescent="0.25">
      <c r="A52" s="542" t="s">
        <v>88</v>
      </c>
      <c r="B52" s="542"/>
      <c r="C52" s="542"/>
    </row>
    <row r="53" spans="1:6" ht="16.5" thickBot="1" x14ac:dyDescent="0.3">
      <c r="A53" s="18" t="s">
        <v>89</v>
      </c>
      <c r="B53" s="1"/>
      <c r="C53" s="160"/>
    </row>
    <row r="54" spans="1:6" ht="32.25" thickBot="1" x14ac:dyDescent="0.3">
      <c r="A54" s="24" t="s">
        <v>4</v>
      </c>
      <c r="B54" s="9" t="s">
        <v>90</v>
      </c>
      <c r="C54" s="207" t="s">
        <v>391</v>
      </c>
      <c r="D54" s="397" t="s">
        <v>392</v>
      </c>
      <c r="E54" s="343" t="s">
        <v>393</v>
      </c>
      <c r="F54" s="401" t="s">
        <v>394</v>
      </c>
    </row>
    <row r="55" spans="1:6" ht="16.5" thickBot="1" x14ac:dyDescent="0.3">
      <c r="A55" s="14" t="s">
        <v>3</v>
      </c>
      <c r="B55" s="9" t="s">
        <v>108</v>
      </c>
      <c r="C55" s="200">
        <f>C56+C57+C58+C59+C60+C66</f>
        <v>252924.299</v>
      </c>
      <c r="D55" s="259">
        <f>D56+D57+D58+D59+D60+D66</f>
        <v>281606.66000000003</v>
      </c>
      <c r="E55" s="259">
        <f>E56+E57+E58+E59+E60+E66</f>
        <v>114748.52799999999</v>
      </c>
      <c r="F55" s="339">
        <f>E55/D55</f>
        <v>0.40747803336753463</v>
      </c>
    </row>
    <row r="56" spans="1:6" x14ac:dyDescent="0.25">
      <c r="A56" s="21" t="s">
        <v>6</v>
      </c>
      <c r="B56" s="8" t="s">
        <v>91</v>
      </c>
      <c r="C56" s="201">
        <v>73802</v>
      </c>
      <c r="D56" s="260">
        <v>97220.6</v>
      </c>
      <c r="E56" s="201">
        <v>45615.228999999999</v>
      </c>
      <c r="F56" s="338">
        <f t="shared" ref="F56:F89" si="1">E56/D56</f>
        <v>0.46919304139246204</v>
      </c>
    </row>
    <row r="57" spans="1:6" x14ac:dyDescent="0.25">
      <c r="A57" s="22" t="s">
        <v>7</v>
      </c>
      <c r="B57" s="4" t="s">
        <v>92</v>
      </c>
      <c r="C57" s="202">
        <v>15695</v>
      </c>
      <c r="D57" s="260">
        <v>20262.199000000001</v>
      </c>
      <c r="E57" s="202">
        <v>8914.2630000000008</v>
      </c>
      <c r="F57" s="331">
        <f t="shared" si="1"/>
        <v>0.43994548666706906</v>
      </c>
    </row>
    <row r="58" spans="1:6" x14ac:dyDescent="0.25">
      <c r="A58" s="22" t="s">
        <v>8</v>
      </c>
      <c r="B58" s="4" t="s">
        <v>93</v>
      </c>
      <c r="C58" s="202">
        <v>128196</v>
      </c>
      <c r="D58" s="260">
        <v>132458.35</v>
      </c>
      <c r="E58" s="202">
        <v>54542.633999999998</v>
      </c>
      <c r="F58" s="331">
        <f t="shared" si="1"/>
        <v>0.41177195699629354</v>
      </c>
    </row>
    <row r="59" spans="1:6" x14ac:dyDescent="0.25">
      <c r="A59" s="22" t="s">
        <v>9</v>
      </c>
      <c r="B59" s="4" t="s">
        <v>94</v>
      </c>
      <c r="C59" s="202">
        <v>3400</v>
      </c>
      <c r="D59" s="260">
        <v>3400</v>
      </c>
      <c r="E59" s="202">
        <v>1162.3699999999999</v>
      </c>
      <c r="F59" s="331">
        <f t="shared" si="1"/>
        <v>0.34187352941176469</v>
      </c>
    </row>
    <row r="60" spans="1:6" x14ac:dyDescent="0.25">
      <c r="A60" s="22" t="s">
        <v>10</v>
      </c>
      <c r="B60" s="4" t="s">
        <v>95</v>
      </c>
      <c r="C60" s="202">
        <f>SUM(C61:C65)</f>
        <v>5725</v>
      </c>
      <c r="D60" s="260">
        <f>SUM(D61:D65)</f>
        <v>6075</v>
      </c>
      <c r="E60" s="260">
        <f>SUM(E61:E65)</f>
        <v>4514.0320000000002</v>
      </c>
      <c r="F60" s="331">
        <f t="shared" si="1"/>
        <v>0.74305053497942386</v>
      </c>
    </row>
    <row r="61" spans="1:6" x14ac:dyDescent="0.25">
      <c r="A61" s="22" t="s">
        <v>11</v>
      </c>
      <c r="B61" s="23" t="s">
        <v>370</v>
      </c>
      <c r="C61" s="202"/>
      <c r="D61" s="260"/>
      <c r="E61" s="202"/>
      <c r="F61" s="331"/>
    </row>
    <row r="62" spans="1:6" x14ac:dyDescent="0.25">
      <c r="A62" s="22" t="s">
        <v>97</v>
      </c>
      <c r="B62" s="4" t="s">
        <v>103</v>
      </c>
      <c r="C62" s="202"/>
      <c r="D62" s="260"/>
      <c r="E62" s="202"/>
      <c r="F62" s="331"/>
    </row>
    <row r="63" spans="1:6" x14ac:dyDescent="0.25">
      <c r="A63" s="22" t="s">
        <v>98</v>
      </c>
      <c r="B63" s="4" t="s">
        <v>138</v>
      </c>
      <c r="C63" s="202"/>
      <c r="D63" s="260"/>
      <c r="E63" s="202"/>
      <c r="F63" s="331"/>
    </row>
    <row r="64" spans="1:6" x14ac:dyDescent="0.25">
      <c r="A64" s="22" t="s">
        <v>99</v>
      </c>
      <c r="B64" s="4" t="s">
        <v>139</v>
      </c>
      <c r="C64" s="202">
        <v>1475</v>
      </c>
      <c r="D64" s="260">
        <v>1475</v>
      </c>
      <c r="E64" s="202">
        <v>869.03200000000004</v>
      </c>
      <c r="F64" s="331">
        <f t="shared" si="1"/>
        <v>0.58917423728813567</v>
      </c>
    </row>
    <row r="65" spans="1:6" x14ac:dyDescent="0.25">
      <c r="A65" s="22" t="s">
        <v>100</v>
      </c>
      <c r="B65" s="4" t="s">
        <v>140</v>
      </c>
      <c r="C65" s="202">
        <v>4250</v>
      </c>
      <c r="D65" s="260">
        <v>4600</v>
      </c>
      <c r="E65" s="202">
        <v>3645</v>
      </c>
      <c r="F65" s="331">
        <f t="shared" si="1"/>
        <v>0.79239130434782612</v>
      </c>
    </row>
    <row r="66" spans="1:6" x14ac:dyDescent="0.25">
      <c r="A66" s="22" t="s">
        <v>101</v>
      </c>
      <c r="B66" s="4" t="s">
        <v>102</v>
      </c>
      <c r="C66" s="202">
        <f>SUM(C67:C68)</f>
        <v>26106.298999999999</v>
      </c>
      <c r="D66" s="260">
        <f>SUM(D67:D68)</f>
        <v>22190.510999999999</v>
      </c>
      <c r="E66" s="202"/>
      <c r="F66" s="331">
        <f t="shared" si="1"/>
        <v>0</v>
      </c>
    </row>
    <row r="67" spans="1:6" x14ac:dyDescent="0.25">
      <c r="A67" s="22" t="s">
        <v>104</v>
      </c>
      <c r="B67" s="4" t="s">
        <v>105</v>
      </c>
      <c r="C67" s="202">
        <v>10951.066999999999</v>
      </c>
      <c r="D67" s="260">
        <v>2732.28</v>
      </c>
      <c r="E67" s="202"/>
      <c r="F67" s="331">
        <f t="shared" si="1"/>
        <v>0</v>
      </c>
    </row>
    <row r="68" spans="1:6" ht="16.5" thickBot="1" x14ac:dyDescent="0.3">
      <c r="A68" s="25" t="s">
        <v>106</v>
      </c>
      <c r="B68" s="10" t="s">
        <v>107</v>
      </c>
      <c r="C68" s="203">
        <v>15155.232</v>
      </c>
      <c r="D68" s="260">
        <v>19458.231</v>
      </c>
      <c r="E68" s="202"/>
      <c r="F68" s="341">
        <f t="shared" si="1"/>
        <v>0</v>
      </c>
    </row>
    <row r="69" spans="1:6" ht="16.5" thickBot="1" x14ac:dyDescent="0.3">
      <c r="A69" s="14" t="s">
        <v>5</v>
      </c>
      <c r="B69" s="9" t="s">
        <v>121</v>
      </c>
      <c r="C69" s="200">
        <f>C70+C72+C74</f>
        <v>606922</v>
      </c>
      <c r="D69" s="259">
        <f>D70+D72+D74</f>
        <v>597561.66599999997</v>
      </c>
      <c r="E69" s="259">
        <f>E70+E72+E74</f>
        <v>80.400000000000006</v>
      </c>
      <c r="F69" s="339">
        <f t="shared" si="1"/>
        <v>1.3454678332729599E-4</v>
      </c>
    </row>
    <row r="70" spans="1:6" x14ac:dyDescent="0.25">
      <c r="A70" s="21" t="s">
        <v>12</v>
      </c>
      <c r="B70" s="8" t="s">
        <v>109</v>
      </c>
      <c r="C70" s="201">
        <v>606922</v>
      </c>
      <c r="D70" s="260">
        <v>597561.66599999997</v>
      </c>
      <c r="E70" s="162">
        <v>80.400000000000006</v>
      </c>
      <c r="F70" s="402">
        <f t="shared" si="1"/>
        <v>1.3454678332729599E-4</v>
      </c>
    </row>
    <row r="71" spans="1:6" x14ac:dyDescent="0.25">
      <c r="A71" s="22" t="s">
        <v>110</v>
      </c>
      <c r="B71" s="4" t="s">
        <v>111</v>
      </c>
      <c r="C71" s="202">
        <v>606922</v>
      </c>
      <c r="D71" s="260">
        <v>595927.43599999999</v>
      </c>
      <c r="E71" s="202"/>
      <c r="F71" s="331">
        <f t="shared" si="1"/>
        <v>0</v>
      </c>
    </row>
    <row r="72" spans="1:6" x14ac:dyDescent="0.25">
      <c r="A72" s="22" t="s">
        <v>14</v>
      </c>
      <c r="B72" s="4" t="s">
        <v>112</v>
      </c>
      <c r="C72" s="202"/>
      <c r="D72" s="260"/>
      <c r="E72" s="202"/>
      <c r="F72" s="331"/>
    </row>
    <row r="73" spans="1:6" x14ac:dyDescent="0.25">
      <c r="A73" s="22" t="s">
        <v>113</v>
      </c>
      <c r="B73" s="4" t="s">
        <v>114</v>
      </c>
      <c r="C73" s="202"/>
      <c r="D73" s="260"/>
      <c r="E73" s="202"/>
      <c r="F73" s="331"/>
    </row>
    <row r="74" spans="1:6" x14ac:dyDescent="0.25">
      <c r="A74" s="22" t="s">
        <v>115</v>
      </c>
      <c r="B74" s="4" t="s">
        <v>116</v>
      </c>
      <c r="C74" s="202"/>
      <c r="D74" s="260"/>
      <c r="E74" s="202"/>
      <c r="F74" s="331"/>
    </row>
    <row r="75" spans="1:6" x14ac:dyDescent="0.25">
      <c r="A75" s="22" t="s">
        <v>117</v>
      </c>
      <c r="B75" s="4" t="s">
        <v>118</v>
      </c>
      <c r="C75" s="202"/>
      <c r="D75" s="260"/>
      <c r="E75" s="202"/>
      <c r="F75" s="331"/>
    </row>
    <row r="76" spans="1:6" ht="16.5" thickBot="1" x14ac:dyDescent="0.3">
      <c r="A76" s="25" t="s">
        <v>119</v>
      </c>
      <c r="B76" s="10" t="s">
        <v>120</v>
      </c>
      <c r="C76" s="203"/>
      <c r="D76" s="260"/>
      <c r="E76" s="202"/>
      <c r="F76" s="341"/>
    </row>
    <row r="77" spans="1:6" ht="16.5" thickBot="1" x14ac:dyDescent="0.3">
      <c r="A77" s="14" t="s">
        <v>15</v>
      </c>
      <c r="B77" s="9" t="s">
        <v>122</v>
      </c>
      <c r="C77" s="200">
        <f>C55+C69</f>
        <v>859846.299</v>
      </c>
      <c r="D77" s="259">
        <f>D55+D69</f>
        <v>879168.326</v>
      </c>
      <c r="E77" s="259">
        <f>E55+E69</f>
        <v>114828.92799999999</v>
      </c>
      <c r="F77" s="339">
        <f t="shared" si="1"/>
        <v>0.13061085642432479</v>
      </c>
    </row>
    <row r="78" spans="1:6" ht="16.5" thickBot="1" x14ac:dyDescent="0.3">
      <c r="A78" s="14" t="s">
        <v>20</v>
      </c>
      <c r="B78" s="9" t="s">
        <v>126</v>
      </c>
      <c r="C78" s="200">
        <f>SUM(C79:C81)</f>
        <v>0</v>
      </c>
      <c r="D78" s="259">
        <f>SUM(D79:D81)</f>
        <v>0</v>
      </c>
      <c r="E78" s="259">
        <f>SUM(E79:E81)</f>
        <v>0</v>
      </c>
      <c r="F78" s="339"/>
    </row>
    <row r="79" spans="1:6" x14ac:dyDescent="0.25">
      <c r="A79" s="21" t="s">
        <v>22</v>
      </c>
      <c r="B79" s="8" t="s">
        <v>123</v>
      </c>
      <c r="C79" s="201"/>
      <c r="D79" s="261"/>
      <c r="E79" s="202"/>
      <c r="F79" s="338"/>
    </row>
    <row r="80" spans="1:6" x14ac:dyDescent="0.25">
      <c r="A80" s="22" t="s">
        <v>26</v>
      </c>
      <c r="B80" s="4" t="s">
        <v>124</v>
      </c>
      <c r="C80" s="202"/>
      <c r="D80" s="260"/>
      <c r="E80" s="202"/>
      <c r="F80" s="331"/>
    </row>
    <row r="81" spans="1:6" ht="16.5" thickBot="1" x14ac:dyDescent="0.3">
      <c r="A81" s="25" t="s">
        <v>27</v>
      </c>
      <c r="B81" s="10" t="s">
        <v>125</v>
      </c>
      <c r="C81" s="203"/>
      <c r="D81" s="264"/>
      <c r="E81" s="202"/>
      <c r="F81" s="341"/>
    </row>
    <row r="82" spans="1:6" ht="16.5" thickBot="1" x14ac:dyDescent="0.3">
      <c r="A82" s="28" t="s">
        <v>29</v>
      </c>
      <c r="B82" s="29" t="s">
        <v>127</v>
      </c>
      <c r="C82" s="205"/>
      <c r="D82" s="263"/>
      <c r="E82" s="263"/>
      <c r="F82" s="339"/>
    </row>
    <row r="83" spans="1:6" ht="16.5" thickBot="1" x14ac:dyDescent="0.3">
      <c r="A83" s="14" t="s">
        <v>52</v>
      </c>
      <c r="B83" s="9" t="s">
        <v>130</v>
      </c>
      <c r="C83" s="200">
        <f>C84</f>
        <v>0</v>
      </c>
      <c r="D83" s="259">
        <f>D84</f>
        <v>0</v>
      </c>
      <c r="E83" s="259">
        <f>E84</f>
        <v>0</v>
      </c>
      <c r="F83" s="339"/>
    </row>
    <row r="84" spans="1:6" ht="16.5" thickBot="1" x14ac:dyDescent="0.3">
      <c r="A84" s="26" t="s">
        <v>128</v>
      </c>
      <c r="B84" s="27" t="s">
        <v>129</v>
      </c>
      <c r="C84" s="206"/>
      <c r="D84" s="263"/>
      <c r="E84" s="203"/>
      <c r="F84" s="348"/>
    </row>
    <row r="85" spans="1:6" ht="16.5" thickBot="1" x14ac:dyDescent="0.3">
      <c r="A85" s="14" t="s">
        <v>54</v>
      </c>
      <c r="B85" s="9" t="s">
        <v>131</v>
      </c>
      <c r="C85" s="200"/>
      <c r="D85" s="263"/>
      <c r="E85" s="255"/>
      <c r="F85" s="339"/>
    </row>
    <row r="86" spans="1:6" ht="16.5" thickBot="1" x14ac:dyDescent="0.3">
      <c r="A86" s="14" t="s">
        <v>56</v>
      </c>
      <c r="B86" s="9" t="s">
        <v>132</v>
      </c>
      <c r="C86" s="200"/>
      <c r="D86" s="263"/>
      <c r="E86" s="255"/>
      <c r="F86" s="339"/>
    </row>
    <row r="87" spans="1:6" ht="16.5" thickBot="1" x14ac:dyDescent="0.3">
      <c r="A87" s="14" t="s">
        <v>133</v>
      </c>
      <c r="B87" s="9" t="s">
        <v>134</v>
      </c>
      <c r="C87" s="200"/>
      <c r="D87" s="263"/>
      <c r="E87" s="255"/>
      <c r="F87" s="339"/>
    </row>
    <row r="88" spans="1:6" ht="16.5" thickBot="1" x14ac:dyDescent="0.3">
      <c r="A88" s="14" t="s">
        <v>59</v>
      </c>
      <c r="B88" s="9" t="s">
        <v>135</v>
      </c>
      <c r="C88" s="200">
        <f>C78+C82+C83+C85+C86+C87</f>
        <v>0</v>
      </c>
      <c r="D88" s="259">
        <f>D78+D82+D83+D85+D86+D87</f>
        <v>0</v>
      </c>
      <c r="E88" s="259">
        <f>E78+E82+E83+E85+E86+E87</f>
        <v>0</v>
      </c>
      <c r="F88" s="348"/>
    </row>
    <row r="89" spans="1:6" ht="16.5" thickBot="1" x14ac:dyDescent="0.3">
      <c r="A89" s="14" t="s">
        <v>67</v>
      </c>
      <c r="B89" s="9" t="s">
        <v>136</v>
      </c>
      <c r="C89" s="200">
        <f>C77+C88</f>
        <v>859846.299</v>
      </c>
      <c r="D89" s="259">
        <f>D77+D88</f>
        <v>879168.326</v>
      </c>
      <c r="E89" s="259">
        <f>E77+E88</f>
        <v>114828.92799999999</v>
      </c>
      <c r="F89" s="339">
        <f t="shared" si="1"/>
        <v>0.13061085642432479</v>
      </c>
    </row>
    <row r="91" spans="1:6" s="30" customFormat="1" ht="29.25" customHeight="1" x14ac:dyDescent="0.25">
      <c r="A91" s="547" t="s">
        <v>141</v>
      </c>
      <c r="B91" s="547"/>
      <c r="C91" s="547"/>
      <c r="D91" s="233"/>
      <c r="E91" s="351"/>
      <c r="F91" s="354"/>
    </row>
    <row r="92" spans="1:6" ht="16.5" thickBot="1" x14ac:dyDescent="0.3">
      <c r="A92" s="18" t="s">
        <v>142</v>
      </c>
      <c r="B92" s="1"/>
      <c r="C92" s="159"/>
    </row>
    <row r="93" spans="1:6" ht="32.25" thickBot="1" x14ac:dyDescent="0.3">
      <c r="A93" s="14" t="s">
        <v>3</v>
      </c>
      <c r="B93" s="11" t="s">
        <v>143</v>
      </c>
      <c r="C93" s="200">
        <f>C36-C77</f>
        <v>-435418.299</v>
      </c>
      <c r="D93" s="259">
        <f>D36-D77</f>
        <v>-433481.77100000001</v>
      </c>
      <c r="E93" s="400">
        <f>E36-E77</f>
        <v>222508.78</v>
      </c>
      <c r="F93" s="330"/>
    </row>
    <row r="94" spans="1:6" ht="32.25" thickBot="1" x14ac:dyDescent="0.3">
      <c r="A94" s="14" t="s">
        <v>5</v>
      </c>
      <c r="B94" s="11" t="s">
        <v>144</v>
      </c>
      <c r="C94" s="200">
        <f>C49-C88</f>
        <v>435418.299</v>
      </c>
      <c r="D94" s="259">
        <f>D49-D88</f>
        <v>436401.68699999998</v>
      </c>
      <c r="E94" s="400">
        <f>E49-E88</f>
        <v>436401.68699999998</v>
      </c>
      <c r="F94" s="330"/>
    </row>
  </sheetData>
  <mergeCells count="7">
    <mergeCell ref="A91:C91"/>
    <mergeCell ref="A52:C52"/>
    <mergeCell ref="A1:F1"/>
    <mergeCell ref="A2:F2"/>
    <mergeCell ref="A3:F3"/>
    <mergeCell ref="A5:F5"/>
    <mergeCell ref="A4:G4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4"/>
  <sheetViews>
    <sheetView topLeftCell="A64" workbookViewId="0">
      <selection activeCell="H94" sqref="H94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7.5703125" style="381" customWidth="1"/>
    <col min="4" max="4" width="15.5703125" style="371" customWidth="1"/>
    <col min="5" max="5" width="10.140625" style="372" bestFit="1" customWidth="1"/>
    <col min="6" max="6" width="8.28515625" style="373" bestFit="1" customWidth="1"/>
    <col min="7" max="16384" width="9.140625" style="2"/>
  </cols>
  <sheetData>
    <row r="1" spans="1:7" x14ac:dyDescent="0.25">
      <c r="A1" s="543" t="s">
        <v>399</v>
      </c>
      <c r="B1" s="543"/>
      <c r="C1" s="543"/>
      <c r="D1" s="543"/>
      <c r="E1" s="543"/>
      <c r="F1" s="543"/>
    </row>
    <row r="2" spans="1:7" s="1" customFormat="1" x14ac:dyDescent="0.25">
      <c r="A2" s="542" t="s">
        <v>0</v>
      </c>
      <c r="B2" s="542"/>
      <c r="C2" s="542"/>
      <c r="D2" s="542"/>
      <c r="E2" s="355"/>
      <c r="F2" s="356"/>
    </row>
    <row r="3" spans="1:7" s="1" customFormat="1" ht="40.5" customHeight="1" x14ac:dyDescent="0.25">
      <c r="A3" s="548" t="s">
        <v>400</v>
      </c>
      <c r="B3" s="548"/>
      <c r="C3" s="548"/>
      <c r="D3" s="548"/>
      <c r="E3" s="548"/>
      <c r="F3" s="548"/>
    </row>
    <row r="4" spans="1:7" s="1" customFormat="1" ht="15.75" customHeight="1" x14ac:dyDescent="0.25">
      <c r="A4" s="542" t="s">
        <v>536</v>
      </c>
      <c r="B4" s="542"/>
      <c r="C4" s="542"/>
      <c r="D4" s="542"/>
      <c r="E4" s="542"/>
      <c r="F4" s="542"/>
      <c r="G4" s="542"/>
    </row>
    <row r="5" spans="1:7" s="1" customFormat="1" x14ac:dyDescent="0.25">
      <c r="A5" s="542" t="s">
        <v>1</v>
      </c>
      <c r="B5" s="542"/>
      <c r="C5" s="542"/>
      <c r="D5" s="542"/>
      <c r="E5" s="542"/>
      <c r="F5" s="542"/>
    </row>
    <row r="6" spans="1:7" s="1" customFormat="1" ht="16.5" thickBot="1" x14ac:dyDescent="0.3">
      <c r="A6" s="18" t="s">
        <v>87</v>
      </c>
      <c r="C6" s="357"/>
      <c r="D6" s="189"/>
      <c r="E6" s="355"/>
      <c r="F6" s="356"/>
    </row>
    <row r="7" spans="1:7" s="3" customFormat="1" ht="16.5" thickBot="1" x14ac:dyDescent="0.3">
      <c r="A7" s="5">
        <v>1</v>
      </c>
      <c r="B7" s="6">
        <v>2</v>
      </c>
      <c r="C7" s="358">
        <v>3</v>
      </c>
      <c r="D7" s="359">
        <v>4</v>
      </c>
      <c r="E7" s="382">
        <v>5</v>
      </c>
      <c r="F7" s="382">
        <v>6</v>
      </c>
    </row>
    <row r="8" spans="1:7" s="1" customFormat="1" ht="32.25" thickBot="1" x14ac:dyDescent="0.3">
      <c r="A8" s="7" t="s">
        <v>4</v>
      </c>
      <c r="B8" s="6" t="s">
        <v>2</v>
      </c>
      <c r="C8" s="360" t="s">
        <v>391</v>
      </c>
      <c r="D8" s="361" t="s">
        <v>392</v>
      </c>
      <c r="E8" s="343" t="s">
        <v>393</v>
      </c>
      <c r="F8" s="337" t="s">
        <v>394</v>
      </c>
    </row>
    <row r="9" spans="1:7" s="1" customFormat="1" ht="16.5" thickBot="1" x14ac:dyDescent="0.3">
      <c r="A9" s="14" t="s">
        <v>3</v>
      </c>
      <c r="B9" s="9" t="s">
        <v>16</v>
      </c>
      <c r="C9" s="362">
        <f>SUM(C10:C15)</f>
        <v>7170</v>
      </c>
      <c r="D9" s="362">
        <f>SUM(D10:D15)</f>
        <v>7170</v>
      </c>
      <c r="E9" s="363">
        <f>SUM(E10:E15)</f>
        <v>5377.5</v>
      </c>
      <c r="F9" s="384">
        <f>E9/D9</f>
        <v>0.75</v>
      </c>
    </row>
    <row r="10" spans="1:7" x14ac:dyDescent="0.25">
      <c r="A10" s="15" t="s">
        <v>6</v>
      </c>
      <c r="B10" s="8" t="s">
        <v>30</v>
      </c>
      <c r="C10" s="364">
        <v>7170</v>
      </c>
      <c r="D10" s="364">
        <v>7170</v>
      </c>
      <c r="E10" s="365">
        <v>5377.5</v>
      </c>
      <c r="F10" s="383">
        <f>E10/D10</f>
        <v>0.75</v>
      </c>
    </row>
    <row r="11" spans="1:7" x14ac:dyDescent="0.25">
      <c r="A11" s="16" t="s">
        <v>7</v>
      </c>
      <c r="B11" s="4" t="s">
        <v>31</v>
      </c>
      <c r="C11" s="366"/>
      <c r="D11" s="366"/>
      <c r="E11" s="365"/>
      <c r="F11" s="367"/>
    </row>
    <row r="12" spans="1:7" x14ac:dyDescent="0.25">
      <c r="A12" s="16" t="s">
        <v>8</v>
      </c>
      <c r="B12" s="4" t="s">
        <v>32</v>
      </c>
      <c r="C12" s="366"/>
      <c r="D12" s="366"/>
      <c r="E12" s="365"/>
      <c r="F12" s="367"/>
    </row>
    <row r="13" spans="1:7" x14ac:dyDescent="0.25">
      <c r="A13" s="16" t="s">
        <v>9</v>
      </c>
      <c r="B13" s="4" t="s">
        <v>33</v>
      </c>
      <c r="C13" s="366"/>
      <c r="D13" s="366"/>
      <c r="E13" s="365"/>
      <c r="F13" s="367"/>
    </row>
    <row r="14" spans="1:7" x14ac:dyDescent="0.25">
      <c r="A14" s="16" t="s">
        <v>10</v>
      </c>
      <c r="B14" s="4" t="s">
        <v>34</v>
      </c>
      <c r="C14" s="366"/>
      <c r="D14" s="366"/>
      <c r="E14" s="365"/>
      <c r="F14" s="367"/>
    </row>
    <row r="15" spans="1:7" ht="16.5" thickBot="1" x14ac:dyDescent="0.3">
      <c r="A15" s="17" t="s">
        <v>11</v>
      </c>
      <c r="B15" s="10" t="s">
        <v>35</v>
      </c>
      <c r="C15" s="368"/>
      <c r="D15" s="368"/>
      <c r="E15" s="365"/>
      <c r="F15" s="385"/>
    </row>
    <row r="16" spans="1:7" s="1" customFormat="1" ht="16.5" thickBot="1" x14ac:dyDescent="0.3">
      <c r="A16" s="14" t="s">
        <v>5</v>
      </c>
      <c r="B16" s="9" t="s">
        <v>39</v>
      </c>
      <c r="C16" s="362">
        <f>SUM(C17:C19)</f>
        <v>0</v>
      </c>
      <c r="D16" s="362">
        <f>SUM(D17:D19)</f>
        <v>0</v>
      </c>
      <c r="E16" s="363">
        <f>SUM(E17:E19)</f>
        <v>0</v>
      </c>
      <c r="F16" s="384"/>
    </row>
    <row r="17" spans="1:6" x14ac:dyDescent="0.25">
      <c r="A17" s="15" t="s">
        <v>12</v>
      </c>
      <c r="B17" s="8" t="s">
        <v>36</v>
      </c>
      <c r="C17" s="364"/>
      <c r="D17" s="364"/>
      <c r="E17" s="365"/>
      <c r="F17" s="383"/>
    </row>
    <row r="18" spans="1:6" x14ac:dyDescent="0.25">
      <c r="A18" s="16" t="s">
        <v>13</v>
      </c>
      <c r="B18" s="4" t="s">
        <v>37</v>
      </c>
      <c r="C18" s="366"/>
      <c r="D18" s="366"/>
      <c r="E18" s="365"/>
      <c r="F18" s="367"/>
    </row>
    <row r="19" spans="1:6" ht="16.5" thickBot="1" x14ac:dyDescent="0.3">
      <c r="A19" s="17" t="s">
        <v>14</v>
      </c>
      <c r="B19" s="10" t="s">
        <v>38</v>
      </c>
      <c r="C19" s="368"/>
      <c r="D19" s="368"/>
      <c r="E19" s="365"/>
      <c r="F19" s="385"/>
    </row>
    <row r="20" spans="1:6" s="1" customFormat="1" ht="16.5" thickBot="1" x14ac:dyDescent="0.3">
      <c r="A20" s="14" t="s">
        <v>15</v>
      </c>
      <c r="B20" s="9" t="s">
        <v>43</v>
      </c>
      <c r="C20" s="362">
        <f>SUM(C21:C22)</f>
        <v>0</v>
      </c>
      <c r="D20" s="362">
        <f>SUM(D21:D22)</f>
        <v>0</v>
      </c>
      <c r="E20" s="363">
        <f>SUM(E21:E22)</f>
        <v>0</v>
      </c>
      <c r="F20" s="384"/>
    </row>
    <row r="21" spans="1:6" x14ac:dyDescent="0.25">
      <c r="A21" s="15" t="s">
        <v>17</v>
      </c>
      <c r="B21" s="8" t="s">
        <v>40</v>
      </c>
      <c r="C21" s="364"/>
      <c r="D21" s="364"/>
      <c r="E21" s="365"/>
      <c r="F21" s="383"/>
    </row>
    <row r="22" spans="1:6" x14ac:dyDescent="0.25">
      <c r="A22" s="16" t="s">
        <v>18</v>
      </c>
      <c r="B22" s="4" t="s">
        <v>41</v>
      </c>
      <c r="C22" s="366"/>
      <c r="D22" s="366"/>
      <c r="E22" s="365"/>
      <c r="F22" s="367"/>
    </row>
    <row r="23" spans="1:6" ht="16.5" thickBot="1" x14ac:dyDescent="0.3">
      <c r="A23" s="17" t="s">
        <v>19</v>
      </c>
      <c r="B23" s="10" t="s">
        <v>42</v>
      </c>
      <c r="C23" s="368"/>
      <c r="D23" s="368"/>
      <c r="E23" s="365"/>
      <c r="F23" s="385"/>
    </row>
    <row r="24" spans="1:6" s="1" customFormat="1" ht="16.5" thickBot="1" x14ac:dyDescent="0.3">
      <c r="A24" s="14" t="s">
        <v>20</v>
      </c>
      <c r="B24" s="9" t="s">
        <v>21</v>
      </c>
      <c r="C24" s="362">
        <f>C25+C29+C30+C31</f>
        <v>0</v>
      </c>
      <c r="D24" s="362">
        <f>D25+D29+D30+D31</f>
        <v>0</v>
      </c>
      <c r="E24" s="363">
        <f>E25+E29+E30+E31</f>
        <v>0</v>
      </c>
      <c r="F24" s="384"/>
    </row>
    <row r="25" spans="1:6" x14ac:dyDescent="0.25">
      <c r="A25" s="15" t="s">
        <v>22</v>
      </c>
      <c r="B25" s="8" t="s">
        <v>44</v>
      </c>
      <c r="C25" s="364"/>
      <c r="D25" s="364"/>
      <c r="E25" s="365"/>
      <c r="F25" s="383"/>
    </row>
    <row r="26" spans="1:6" x14ac:dyDescent="0.25">
      <c r="A26" s="16" t="s">
        <v>23</v>
      </c>
      <c r="B26" s="4" t="s">
        <v>45</v>
      </c>
      <c r="C26" s="366"/>
      <c r="D26" s="366"/>
      <c r="E26" s="365"/>
      <c r="F26" s="367"/>
    </row>
    <row r="27" spans="1:6" x14ac:dyDescent="0.25">
      <c r="A27" s="16" t="s">
        <v>24</v>
      </c>
      <c r="B27" s="4" t="s">
        <v>46</v>
      </c>
      <c r="C27" s="366"/>
      <c r="D27" s="366"/>
      <c r="E27" s="365"/>
      <c r="F27" s="367"/>
    </row>
    <row r="28" spans="1:6" x14ac:dyDescent="0.25">
      <c r="A28" s="16" t="s">
        <v>25</v>
      </c>
      <c r="B28" s="4" t="s">
        <v>47</v>
      </c>
      <c r="C28" s="366"/>
      <c r="D28" s="366"/>
      <c r="E28" s="365"/>
      <c r="F28" s="367"/>
    </row>
    <row r="29" spans="1:6" x14ac:dyDescent="0.25">
      <c r="A29" s="16" t="s">
        <v>26</v>
      </c>
      <c r="B29" s="4" t="s">
        <v>48</v>
      </c>
      <c r="C29" s="366"/>
      <c r="D29" s="366"/>
      <c r="E29" s="365"/>
      <c r="F29" s="367"/>
    </row>
    <row r="30" spans="1:6" x14ac:dyDescent="0.25">
      <c r="A30" s="16" t="s">
        <v>27</v>
      </c>
      <c r="B30" s="4" t="s">
        <v>49</v>
      </c>
      <c r="C30" s="366"/>
      <c r="D30" s="366"/>
      <c r="E30" s="365"/>
      <c r="F30" s="367"/>
    </row>
    <row r="31" spans="1:6" ht="16.5" thickBot="1" x14ac:dyDescent="0.3">
      <c r="A31" s="17" t="s">
        <v>28</v>
      </c>
      <c r="B31" s="10" t="s">
        <v>50</v>
      </c>
      <c r="C31" s="368"/>
      <c r="D31" s="368"/>
      <c r="E31" s="365"/>
      <c r="F31" s="385"/>
    </row>
    <row r="32" spans="1:6" s="1" customFormat="1" ht="16.5" thickBot="1" x14ac:dyDescent="0.3">
      <c r="A32" s="14" t="s">
        <v>29</v>
      </c>
      <c r="B32" s="9" t="s">
        <v>51</v>
      </c>
      <c r="C32" s="362"/>
      <c r="D32" s="362"/>
      <c r="E32" s="363"/>
      <c r="F32" s="384"/>
    </row>
    <row r="33" spans="1:6" s="1" customFormat="1" ht="16.5" thickBot="1" x14ac:dyDescent="0.3">
      <c r="A33" s="19" t="s">
        <v>52</v>
      </c>
      <c r="B33" s="20" t="s">
        <v>53</v>
      </c>
      <c r="C33" s="369"/>
      <c r="D33" s="369"/>
      <c r="E33" s="370"/>
      <c r="F33" s="384"/>
    </row>
    <row r="34" spans="1:6" s="1" customFormat="1" ht="16.5" thickBot="1" x14ac:dyDescent="0.3">
      <c r="A34" s="14" t="s">
        <v>54</v>
      </c>
      <c r="B34" s="9" t="s">
        <v>55</v>
      </c>
      <c r="C34" s="362"/>
      <c r="D34" s="362"/>
      <c r="E34" s="363"/>
      <c r="F34" s="384"/>
    </row>
    <row r="35" spans="1:6" s="1" customFormat="1" ht="16.5" thickBot="1" x14ac:dyDescent="0.3">
      <c r="A35" s="14" t="s">
        <v>56</v>
      </c>
      <c r="B35" s="9" t="s">
        <v>57</v>
      </c>
      <c r="C35" s="362"/>
      <c r="D35" s="362"/>
      <c r="E35" s="363"/>
      <c r="F35" s="384"/>
    </row>
    <row r="36" spans="1:6" s="1" customFormat="1" ht="16.5" thickBot="1" x14ac:dyDescent="0.3">
      <c r="A36" s="14" t="s">
        <v>58</v>
      </c>
      <c r="B36" s="9" t="s">
        <v>137</v>
      </c>
      <c r="C36" s="362">
        <f>C9+C16+C20+C24+C32+C33+C34+C35</f>
        <v>7170</v>
      </c>
      <c r="D36" s="362">
        <f>D9+D16+D20+D24+D32+D33+D34+D35</f>
        <v>7170</v>
      </c>
      <c r="E36" s="363">
        <f>E9+E16+E20+E24+E32+E33+E34+E35</f>
        <v>5377.5</v>
      </c>
      <c r="F36" s="384">
        <f>E36/D36</f>
        <v>0.75</v>
      </c>
    </row>
    <row r="37" spans="1:6" s="1" customFormat="1" ht="16.5" thickBot="1" x14ac:dyDescent="0.3">
      <c r="A37" s="14" t="s">
        <v>59</v>
      </c>
      <c r="B37" s="9" t="s">
        <v>60</v>
      </c>
      <c r="C37" s="362">
        <f>SUM(C38:C40)</f>
        <v>0</v>
      </c>
      <c r="D37" s="362">
        <f>SUM(D38:D40)</f>
        <v>0</v>
      </c>
      <c r="E37" s="363">
        <f>SUM(E38:E40)</f>
        <v>0</v>
      </c>
      <c r="F37" s="384"/>
    </row>
    <row r="38" spans="1:6" x14ac:dyDescent="0.25">
      <c r="A38" s="15" t="s">
        <v>61</v>
      </c>
      <c r="B38" s="8" t="s">
        <v>62</v>
      </c>
      <c r="C38" s="364"/>
      <c r="D38" s="364"/>
      <c r="E38" s="365"/>
      <c r="F38" s="383"/>
    </row>
    <row r="39" spans="1:6" x14ac:dyDescent="0.25">
      <c r="A39" s="16" t="s">
        <v>63</v>
      </c>
      <c r="B39" s="4" t="s">
        <v>64</v>
      </c>
      <c r="C39" s="366"/>
      <c r="D39" s="366"/>
      <c r="E39" s="365"/>
      <c r="F39" s="367"/>
    </row>
    <row r="40" spans="1:6" ht="16.5" thickBot="1" x14ac:dyDescent="0.3">
      <c r="A40" s="17" t="s">
        <v>65</v>
      </c>
      <c r="B40" s="10" t="s">
        <v>66</v>
      </c>
      <c r="C40" s="368"/>
      <c r="D40" s="368"/>
      <c r="E40" s="386"/>
      <c r="F40" s="385"/>
    </row>
    <row r="41" spans="1:6" s="1" customFormat="1" ht="16.5" thickBot="1" x14ac:dyDescent="0.3">
      <c r="A41" s="14" t="s">
        <v>67</v>
      </c>
      <c r="B41" s="9" t="s">
        <v>68</v>
      </c>
      <c r="C41" s="362"/>
      <c r="D41" s="362"/>
      <c r="E41" s="388"/>
      <c r="F41" s="384"/>
    </row>
    <row r="42" spans="1:6" s="1" customFormat="1" ht="16.5" thickBot="1" x14ac:dyDescent="0.3">
      <c r="A42" s="14" t="s">
        <v>69</v>
      </c>
      <c r="B42" s="9" t="s">
        <v>70</v>
      </c>
      <c r="C42" s="362"/>
      <c r="D42" s="362"/>
      <c r="E42" s="387"/>
      <c r="F42" s="389"/>
    </row>
    <row r="43" spans="1:6" s="1" customFormat="1" ht="16.5" thickBot="1" x14ac:dyDescent="0.3">
      <c r="A43" s="14" t="s">
        <v>71</v>
      </c>
      <c r="B43" s="9" t="s">
        <v>72</v>
      </c>
      <c r="C43" s="362">
        <f>C44+C45</f>
        <v>0</v>
      </c>
      <c r="D43" s="362">
        <f>D44+D45</f>
        <v>0</v>
      </c>
      <c r="E43" s="363">
        <f>E44+E45</f>
        <v>0</v>
      </c>
      <c r="F43" s="384"/>
    </row>
    <row r="44" spans="1:6" x14ac:dyDescent="0.25">
      <c r="A44" s="15" t="s">
        <v>73</v>
      </c>
      <c r="B44" s="8" t="s">
        <v>74</v>
      </c>
      <c r="C44" s="364"/>
      <c r="D44" s="364"/>
      <c r="E44" s="365"/>
      <c r="F44" s="383"/>
    </row>
    <row r="45" spans="1:6" ht="16.5" thickBot="1" x14ac:dyDescent="0.3">
      <c r="A45" s="17" t="s">
        <v>75</v>
      </c>
      <c r="B45" s="10" t="s">
        <v>76</v>
      </c>
      <c r="C45" s="368"/>
      <c r="D45" s="368"/>
      <c r="E45" s="386"/>
      <c r="F45" s="385"/>
    </row>
    <row r="46" spans="1:6" s="1" customFormat="1" ht="16.5" thickBot="1" x14ac:dyDescent="0.3">
      <c r="A46" s="14" t="s">
        <v>77</v>
      </c>
      <c r="B46" s="9" t="s">
        <v>78</v>
      </c>
      <c r="C46" s="362"/>
      <c r="D46" s="362"/>
      <c r="E46" s="388"/>
      <c r="F46" s="384"/>
    </row>
    <row r="47" spans="1:6" s="1" customFormat="1" ht="16.5" thickBot="1" x14ac:dyDescent="0.3">
      <c r="A47" s="14" t="s">
        <v>79</v>
      </c>
      <c r="B47" s="9" t="s">
        <v>80</v>
      </c>
      <c r="C47" s="362"/>
      <c r="D47" s="362"/>
      <c r="E47" s="388"/>
      <c r="F47" s="384"/>
    </row>
    <row r="48" spans="1:6" s="1" customFormat="1" ht="16.5" thickBot="1" x14ac:dyDescent="0.3">
      <c r="A48" s="14" t="s">
        <v>81</v>
      </c>
      <c r="B48" s="9" t="s">
        <v>82</v>
      </c>
      <c r="C48" s="362"/>
      <c r="D48" s="362"/>
      <c r="E48" s="388"/>
      <c r="F48" s="384"/>
    </row>
    <row r="49" spans="1:6" s="1" customFormat="1" ht="16.5" thickBot="1" x14ac:dyDescent="0.3">
      <c r="A49" s="14" t="s">
        <v>83</v>
      </c>
      <c r="B49" s="9" t="s">
        <v>84</v>
      </c>
      <c r="C49" s="362">
        <f>C37+C41+C42+C43+C46+C47+C48</f>
        <v>0</v>
      </c>
      <c r="D49" s="362">
        <f>D37+D41+D42+D43+D46+D47+D48</f>
        <v>0</v>
      </c>
      <c r="E49" s="363">
        <f>E37+E41+E42+E43+E46+E47+E48</f>
        <v>0</v>
      </c>
      <c r="F49" s="384"/>
    </row>
    <row r="50" spans="1:6" s="1" customFormat="1" ht="32.25" thickBot="1" x14ac:dyDescent="0.3">
      <c r="A50" s="14" t="s">
        <v>85</v>
      </c>
      <c r="B50" s="11" t="s">
        <v>86</v>
      </c>
      <c r="C50" s="362">
        <f>C36+C49</f>
        <v>7170</v>
      </c>
      <c r="D50" s="362">
        <f>D36+D49</f>
        <v>7170</v>
      </c>
      <c r="E50" s="363">
        <f>E36+E49</f>
        <v>5377.5</v>
      </c>
      <c r="F50" s="384">
        <f>E50/D50</f>
        <v>0.75</v>
      </c>
    </row>
    <row r="52" spans="1:6" x14ac:dyDescent="0.25">
      <c r="A52" s="542" t="s">
        <v>88</v>
      </c>
      <c r="B52" s="542"/>
      <c r="C52" s="542"/>
    </row>
    <row r="53" spans="1:6" ht="16.5" thickBot="1" x14ac:dyDescent="0.3">
      <c r="A53" s="18" t="s">
        <v>89</v>
      </c>
      <c r="B53" s="1"/>
      <c r="C53" s="374"/>
    </row>
    <row r="54" spans="1:6" ht="32.25" thickBot="1" x14ac:dyDescent="0.3">
      <c r="A54" s="24" t="s">
        <v>4</v>
      </c>
      <c r="B54" s="9" t="s">
        <v>90</v>
      </c>
      <c r="C54" s="360" t="s">
        <v>391</v>
      </c>
      <c r="D54" s="361" t="s">
        <v>392</v>
      </c>
      <c r="E54" s="343" t="s">
        <v>393</v>
      </c>
      <c r="F54" s="337" t="s">
        <v>394</v>
      </c>
    </row>
    <row r="55" spans="1:6" ht="16.5" thickBot="1" x14ac:dyDescent="0.3">
      <c r="A55" s="14" t="s">
        <v>3</v>
      </c>
      <c r="B55" s="9" t="s">
        <v>108</v>
      </c>
      <c r="C55" s="362">
        <f>C56+C57+C58+C59+C60+C66</f>
        <v>7170</v>
      </c>
      <c r="D55" s="362">
        <f>D56+D57+D58+D59+D60+D66</f>
        <v>7170</v>
      </c>
      <c r="E55" s="363">
        <f>E56+E57+E58+E59+E60+E66</f>
        <v>5377.5</v>
      </c>
      <c r="F55" s="384">
        <f>E55/D55</f>
        <v>0.75</v>
      </c>
    </row>
    <row r="56" spans="1:6" x14ac:dyDescent="0.25">
      <c r="A56" s="21" t="s">
        <v>6</v>
      </c>
      <c r="B56" s="8" t="s">
        <v>91</v>
      </c>
      <c r="C56" s="364">
        <v>6000</v>
      </c>
      <c r="D56" s="364">
        <v>6000</v>
      </c>
      <c r="E56" s="365">
        <v>4500</v>
      </c>
      <c r="F56" s="383">
        <f t="shared" ref="F56:F57" si="0">E56/D56</f>
        <v>0.75</v>
      </c>
    </row>
    <row r="57" spans="1:6" x14ac:dyDescent="0.25">
      <c r="A57" s="22" t="s">
        <v>7</v>
      </c>
      <c r="B57" s="4" t="s">
        <v>92</v>
      </c>
      <c r="C57" s="366">
        <v>1170</v>
      </c>
      <c r="D57" s="366">
        <v>1170</v>
      </c>
      <c r="E57" s="365">
        <v>877.5</v>
      </c>
      <c r="F57" s="367">
        <f t="shared" si="0"/>
        <v>0.75</v>
      </c>
    </row>
    <row r="58" spans="1:6" x14ac:dyDescent="0.25">
      <c r="A58" s="22" t="s">
        <v>8</v>
      </c>
      <c r="B58" s="4" t="s">
        <v>93</v>
      </c>
      <c r="C58" s="366"/>
      <c r="D58" s="366"/>
      <c r="E58" s="365"/>
      <c r="F58" s="367"/>
    </row>
    <row r="59" spans="1:6" x14ac:dyDescent="0.25">
      <c r="A59" s="22" t="s">
        <v>9</v>
      </c>
      <c r="B59" s="4" t="s">
        <v>94</v>
      </c>
      <c r="C59" s="366"/>
      <c r="D59" s="366"/>
      <c r="E59" s="365"/>
      <c r="F59" s="367"/>
    </row>
    <row r="60" spans="1:6" x14ac:dyDescent="0.25">
      <c r="A60" s="22" t="s">
        <v>10</v>
      </c>
      <c r="B60" s="4" t="s">
        <v>95</v>
      </c>
      <c r="C60" s="366"/>
      <c r="D60" s="366"/>
      <c r="E60" s="365"/>
      <c r="F60" s="367"/>
    </row>
    <row r="61" spans="1:6" x14ac:dyDescent="0.25">
      <c r="A61" s="22" t="s">
        <v>11</v>
      </c>
      <c r="B61" s="23" t="s">
        <v>96</v>
      </c>
      <c r="C61" s="366"/>
      <c r="D61" s="366"/>
      <c r="E61" s="365"/>
      <c r="F61" s="367"/>
    </row>
    <row r="62" spans="1:6" x14ac:dyDescent="0.25">
      <c r="A62" s="22" t="s">
        <v>97</v>
      </c>
      <c r="B62" s="4" t="s">
        <v>103</v>
      </c>
      <c r="C62" s="366"/>
      <c r="D62" s="366"/>
      <c r="E62" s="365"/>
      <c r="F62" s="367"/>
    </row>
    <row r="63" spans="1:6" x14ac:dyDescent="0.25">
      <c r="A63" s="22" t="s">
        <v>98</v>
      </c>
      <c r="B63" s="4" t="s">
        <v>138</v>
      </c>
      <c r="C63" s="366"/>
      <c r="D63" s="366"/>
      <c r="E63" s="365"/>
      <c r="F63" s="367"/>
    </row>
    <row r="64" spans="1:6" x14ac:dyDescent="0.25">
      <c r="A64" s="22" t="s">
        <v>99</v>
      </c>
      <c r="B64" s="4" t="s">
        <v>139</v>
      </c>
      <c r="C64" s="366"/>
      <c r="D64" s="366"/>
      <c r="E64" s="365"/>
      <c r="F64" s="367"/>
    </row>
    <row r="65" spans="1:6" x14ac:dyDescent="0.25">
      <c r="A65" s="22" t="s">
        <v>100</v>
      </c>
      <c r="B65" s="4" t="s">
        <v>140</v>
      </c>
      <c r="C65" s="366"/>
      <c r="D65" s="366"/>
      <c r="E65" s="365"/>
      <c r="F65" s="367"/>
    </row>
    <row r="66" spans="1:6" x14ac:dyDescent="0.25">
      <c r="A66" s="22" t="s">
        <v>101</v>
      </c>
      <c r="B66" s="4" t="s">
        <v>102</v>
      </c>
      <c r="C66" s="366"/>
      <c r="D66" s="366"/>
      <c r="E66" s="365"/>
      <c r="F66" s="367"/>
    </row>
    <row r="67" spans="1:6" x14ac:dyDescent="0.25">
      <c r="A67" s="22" t="s">
        <v>104</v>
      </c>
      <c r="B67" s="4" t="s">
        <v>105</v>
      </c>
      <c r="C67" s="366"/>
      <c r="D67" s="366"/>
      <c r="E67" s="365"/>
      <c r="F67" s="367"/>
    </row>
    <row r="68" spans="1:6" ht="16.5" thickBot="1" x14ac:dyDescent="0.3">
      <c r="A68" s="25" t="s">
        <v>106</v>
      </c>
      <c r="B68" s="10" t="s">
        <v>107</v>
      </c>
      <c r="C68" s="368"/>
      <c r="D68" s="368"/>
      <c r="E68" s="365"/>
      <c r="F68" s="385"/>
    </row>
    <row r="69" spans="1:6" ht="16.5" thickBot="1" x14ac:dyDescent="0.3">
      <c r="A69" s="14" t="s">
        <v>5</v>
      </c>
      <c r="B69" s="9" t="s">
        <v>121</v>
      </c>
      <c r="C69" s="362">
        <f>C70+C72+C74</f>
        <v>0</v>
      </c>
      <c r="D69" s="362">
        <f>D70+D72+D74</f>
        <v>0</v>
      </c>
      <c r="E69" s="362">
        <f>E70+E72+E74</f>
        <v>0</v>
      </c>
      <c r="F69" s="390"/>
    </row>
    <row r="70" spans="1:6" x14ac:dyDescent="0.25">
      <c r="A70" s="21" t="s">
        <v>12</v>
      </c>
      <c r="B70" s="8" t="s">
        <v>109</v>
      </c>
      <c r="C70" s="364"/>
      <c r="D70" s="364"/>
      <c r="E70" s="365"/>
      <c r="F70" s="383"/>
    </row>
    <row r="71" spans="1:6" x14ac:dyDescent="0.25">
      <c r="A71" s="22" t="s">
        <v>110</v>
      </c>
      <c r="B71" s="4" t="s">
        <v>111</v>
      </c>
      <c r="C71" s="366"/>
      <c r="D71" s="366"/>
      <c r="E71" s="365"/>
      <c r="F71" s="367"/>
    </row>
    <row r="72" spans="1:6" x14ac:dyDescent="0.25">
      <c r="A72" s="22" t="s">
        <v>14</v>
      </c>
      <c r="B72" s="4" t="s">
        <v>112</v>
      </c>
      <c r="C72" s="366"/>
      <c r="D72" s="366"/>
      <c r="E72" s="365"/>
      <c r="F72" s="367"/>
    </row>
    <row r="73" spans="1:6" x14ac:dyDescent="0.25">
      <c r="A73" s="22" t="s">
        <v>113</v>
      </c>
      <c r="B73" s="4" t="s">
        <v>114</v>
      </c>
      <c r="C73" s="366"/>
      <c r="D73" s="366"/>
      <c r="E73" s="365"/>
      <c r="F73" s="367"/>
    </row>
    <row r="74" spans="1:6" x14ac:dyDescent="0.25">
      <c r="A74" s="22" t="s">
        <v>115</v>
      </c>
      <c r="B74" s="4" t="s">
        <v>116</v>
      </c>
      <c r="C74" s="366"/>
      <c r="D74" s="366"/>
      <c r="E74" s="365"/>
      <c r="F74" s="367"/>
    </row>
    <row r="75" spans="1:6" x14ac:dyDescent="0.25">
      <c r="A75" s="22" t="s">
        <v>117</v>
      </c>
      <c r="B75" s="4" t="s">
        <v>118</v>
      </c>
      <c r="C75" s="366"/>
      <c r="D75" s="366"/>
      <c r="E75" s="365"/>
      <c r="F75" s="367"/>
    </row>
    <row r="76" spans="1:6" ht="16.5" thickBot="1" x14ac:dyDescent="0.3">
      <c r="A76" s="25" t="s">
        <v>119</v>
      </c>
      <c r="B76" s="10" t="s">
        <v>120</v>
      </c>
      <c r="C76" s="368"/>
      <c r="D76" s="368"/>
      <c r="E76" s="365"/>
      <c r="F76" s="385"/>
    </row>
    <row r="77" spans="1:6" ht="16.5" thickBot="1" x14ac:dyDescent="0.3">
      <c r="A77" s="14" t="s">
        <v>15</v>
      </c>
      <c r="B77" s="9" t="s">
        <v>122</v>
      </c>
      <c r="C77" s="362">
        <f>C55+C69</f>
        <v>7170</v>
      </c>
      <c r="D77" s="362">
        <f>D55+D69</f>
        <v>7170</v>
      </c>
      <c r="E77" s="362">
        <f>E55+E69</f>
        <v>5377.5</v>
      </c>
      <c r="F77" s="384">
        <f>E77/D77</f>
        <v>0.75</v>
      </c>
    </row>
    <row r="78" spans="1:6" ht="16.5" thickBot="1" x14ac:dyDescent="0.3">
      <c r="A78" s="14" t="s">
        <v>20</v>
      </c>
      <c r="B78" s="9" t="s">
        <v>126</v>
      </c>
      <c r="C78" s="362">
        <f>SUM(C79:C81)</f>
        <v>0</v>
      </c>
      <c r="D78" s="362">
        <f>SUM(D79:D81)</f>
        <v>0</v>
      </c>
      <c r="E78" s="362">
        <f>SUM(E79:E81)</f>
        <v>0</v>
      </c>
      <c r="F78" s="390"/>
    </row>
    <row r="79" spans="1:6" x14ac:dyDescent="0.25">
      <c r="A79" s="21" t="s">
        <v>22</v>
      </c>
      <c r="B79" s="8" t="s">
        <v>123</v>
      </c>
      <c r="C79" s="364"/>
      <c r="D79" s="364"/>
      <c r="E79" s="365"/>
      <c r="F79" s="383"/>
    </row>
    <row r="80" spans="1:6" x14ac:dyDescent="0.25">
      <c r="A80" s="22" t="s">
        <v>26</v>
      </c>
      <c r="B80" s="4" t="s">
        <v>124</v>
      </c>
      <c r="C80" s="366"/>
      <c r="D80" s="366"/>
      <c r="E80" s="365"/>
      <c r="F80" s="367"/>
    </row>
    <row r="81" spans="1:6" ht="16.5" thickBot="1" x14ac:dyDescent="0.3">
      <c r="A81" s="25" t="s">
        <v>27</v>
      </c>
      <c r="B81" s="10" t="s">
        <v>125</v>
      </c>
      <c r="C81" s="368"/>
      <c r="D81" s="368"/>
      <c r="E81" s="386"/>
      <c r="F81" s="385"/>
    </row>
    <row r="82" spans="1:6" ht="16.5" thickBot="1" x14ac:dyDescent="0.3">
      <c r="A82" s="28" t="s">
        <v>29</v>
      </c>
      <c r="B82" s="29" t="s">
        <v>127</v>
      </c>
      <c r="C82" s="375"/>
      <c r="D82" s="375"/>
      <c r="E82" s="391"/>
      <c r="F82" s="390"/>
    </row>
    <row r="83" spans="1:6" ht="16.5" thickBot="1" x14ac:dyDescent="0.3">
      <c r="A83" s="14" t="s">
        <v>52</v>
      </c>
      <c r="B83" s="9" t="s">
        <v>130</v>
      </c>
      <c r="C83" s="362">
        <f>C84</f>
        <v>0</v>
      </c>
      <c r="D83" s="362">
        <f>D84</f>
        <v>0</v>
      </c>
      <c r="E83" s="362">
        <f>E84</f>
        <v>0</v>
      </c>
      <c r="F83" s="390"/>
    </row>
    <row r="84" spans="1:6" ht="16.5" thickBot="1" x14ac:dyDescent="0.3">
      <c r="A84" s="26" t="s">
        <v>128</v>
      </c>
      <c r="B84" s="27" t="s">
        <v>129</v>
      </c>
      <c r="C84" s="376"/>
      <c r="D84" s="376"/>
      <c r="E84" s="386"/>
      <c r="F84" s="392"/>
    </row>
    <row r="85" spans="1:6" ht="16.5" thickBot="1" x14ac:dyDescent="0.3">
      <c r="A85" s="14" t="s">
        <v>54</v>
      </c>
      <c r="B85" s="9" t="s">
        <v>131</v>
      </c>
      <c r="C85" s="362"/>
      <c r="D85" s="362"/>
      <c r="E85" s="391"/>
      <c r="F85" s="390"/>
    </row>
    <row r="86" spans="1:6" ht="16.5" thickBot="1" x14ac:dyDescent="0.3">
      <c r="A86" s="14" t="s">
        <v>56</v>
      </c>
      <c r="B86" s="9" t="s">
        <v>132</v>
      </c>
      <c r="C86" s="362"/>
      <c r="D86" s="362"/>
      <c r="E86" s="391"/>
      <c r="F86" s="390"/>
    </row>
    <row r="87" spans="1:6" ht="16.5" thickBot="1" x14ac:dyDescent="0.3">
      <c r="A87" s="14" t="s">
        <v>133</v>
      </c>
      <c r="B87" s="9" t="s">
        <v>134</v>
      </c>
      <c r="C87" s="362"/>
      <c r="D87" s="362"/>
      <c r="E87" s="391"/>
      <c r="F87" s="390"/>
    </row>
    <row r="88" spans="1:6" ht="16.5" thickBot="1" x14ac:dyDescent="0.3">
      <c r="A88" s="14" t="s">
        <v>59</v>
      </c>
      <c r="B88" s="9" t="s">
        <v>135</v>
      </c>
      <c r="C88" s="362">
        <f>C78+C82+C83+C85+C86+C87</f>
        <v>0</v>
      </c>
      <c r="D88" s="362">
        <f>D78+D82+D83+D85+D86+D87</f>
        <v>0</v>
      </c>
      <c r="E88" s="362">
        <f>E78+E82+E83+E85+E86+E87</f>
        <v>0</v>
      </c>
      <c r="F88" s="390"/>
    </row>
    <row r="89" spans="1:6" ht="16.5" thickBot="1" x14ac:dyDescent="0.3">
      <c r="A89" s="14" t="s">
        <v>67</v>
      </c>
      <c r="B89" s="9" t="s">
        <v>136</v>
      </c>
      <c r="C89" s="362">
        <f>C77+C88</f>
        <v>7170</v>
      </c>
      <c r="D89" s="362">
        <f>D77+D88</f>
        <v>7170</v>
      </c>
      <c r="E89" s="362">
        <f>E77+E88</f>
        <v>5377.5</v>
      </c>
      <c r="F89" s="384">
        <f>E89/D89</f>
        <v>0.75</v>
      </c>
    </row>
    <row r="91" spans="1:6" s="30" customFormat="1" ht="29.25" customHeight="1" x14ac:dyDescent="0.25">
      <c r="A91" s="547" t="s">
        <v>141</v>
      </c>
      <c r="B91" s="547"/>
      <c r="C91" s="547"/>
      <c r="D91" s="377"/>
      <c r="E91" s="378"/>
      <c r="F91" s="379"/>
    </row>
    <row r="92" spans="1:6" ht="16.5" thickBot="1" x14ac:dyDescent="0.3">
      <c r="A92" s="18" t="s">
        <v>142</v>
      </c>
      <c r="B92" s="1"/>
      <c r="C92" s="357"/>
    </row>
    <row r="93" spans="1:6" ht="32.25" thickBot="1" x14ac:dyDescent="0.3">
      <c r="A93" s="14" t="s">
        <v>3</v>
      </c>
      <c r="B93" s="11" t="s">
        <v>143</v>
      </c>
      <c r="C93" s="362">
        <f>C36-C77</f>
        <v>0</v>
      </c>
      <c r="D93" s="380">
        <f>D36-D77</f>
        <v>0</v>
      </c>
      <c r="E93" s="394">
        <f>E36-E77</f>
        <v>0</v>
      </c>
      <c r="F93" s="393"/>
    </row>
    <row r="94" spans="1:6" ht="32.25" thickBot="1" x14ac:dyDescent="0.3">
      <c r="A94" s="14" t="s">
        <v>5</v>
      </c>
      <c r="B94" s="11" t="s">
        <v>144</v>
      </c>
      <c r="C94" s="362">
        <f>C49-C88</f>
        <v>0</v>
      </c>
      <c r="D94" s="380">
        <f>D49-D88</f>
        <v>0</v>
      </c>
      <c r="E94" s="394">
        <f>E49-E88</f>
        <v>0</v>
      </c>
      <c r="F94" s="393"/>
    </row>
  </sheetData>
  <mergeCells count="7">
    <mergeCell ref="A91:C91"/>
    <mergeCell ref="A52:C52"/>
    <mergeCell ref="A2:D2"/>
    <mergeCell ref="A1:F1"/>
    <mergeCell ref="A3:F3"/>
    <mergeCell ref="A5:F5"/>
    <mergeCell ref="A4:G4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workbookViewId="0">
      <selection activeCell="J21" sqref="J21"/>
    </sheetView>
  </sheetViews>
  <sheetFormatPr defaultRowHeight="15.75" x14ac:dyDescent="0.25"/>
  <cols>
    <col min="1" max="1" width="5.7109375" style="13" customWidth="1"/>
    <col min="2" max="2" width="57.5703125" style="2" bestFit="1" customWidth="1"/>
    <col min="3" max="6" width="14.7109375" style="126" customWidth="1"/>
    <col min="7" max="7" width="53.85546875" style="2" bestFit="1" customWidth="1"/>
    <col min="8" max="8" width="14.7109375" style="126" customWidth="1"/>
    <col min="9" max="9" width="14.5703125" style="2" customWidth="1"/>
    <col min="10" max="10" width="12.42578125" style="164" bestFit="1" customWidth="1"/>
    <col min="11" max="11" width="9.5703125" style="2" bestFit="1" customWidth="1"/>
    <col min="12" max="16384" width="9.140625" style="2"/>
  </cols>
  <sheetData>
    <row r="1" spans="1:11" x14ac:dyDescent="0.25">
      <c r="B1" s="549" t="s">
        <v>401</v>
      </c>
      <c r="C1" s="549"/>
      <c r="D1" s="549"/>
      <c r="E1" s="549"/>
      <c r="F1" s="549"/>
      <c r="G1" s="549"/>
      <c r="H1" s="549"/>
      <c r="I1" s="549"/>
    </row>
    <row r="2" spans="1:11" ht="54.75" customHeight="1" x14ac:dyDescent="0.25">
      <c r="A2" s="550" t="s">
        <v>537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1:11" x14ac:dyDescent="0.25">
      <c r="A3" s="550" t="s">
        <v>538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1:11" x14ac:dyDescent="0.25">
      <c r="A4" s="551" t="s">
        <v>145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</row>
    <row r="5" spans="1:11" ht="16.5" thickBot="1" x14ac:dyDescent="0.3">
      <c r="A5" s="549" t="s">
        <v>343</v>
      </c>
      <c r="B5" s="549"/>
      <c r="C5" s="549"/>
      <c r="D5" s="549"/>
      <c r="E5" s="549"/>
      <c r="F5" s="549"/>
      <c r="G5" s="549"/>
      <c r="H5" s="549"/>
      <c r="I5" s="549"/>
      <c r="J5" s="549"/>
      <c r="K5" s="549"/>
    </row>
    <row r="6" spans="1:11" s="30" customFormat="1" ht="32.25" thickBot="1" x14ac:dyDescent="0.3">
      <c r="A6" s="39" t="s">
        <v>4</v>
      </c>
      <c r="B6" s="6" t="s">
        <v>146</v>
      </c>
      <c r="C6" s="207" t="s">
        <v>391</v>
      </c>
      <c r="D6" s="208" t="s">
        <v>392</v>
      </c>
      <c r="E6" s="100" t="s">
        <v>402</v>
      </c>
      <c r="F6" s="256" t="s">
        <v>394</v>
      </c>
      <c r="G6" s="6" t="s">
        <v>147</v>
      </c>
      <c r="H6" s="207" t="s">
        <v>391</v>
      </c>
      <c r="I6" s="253" t="s">
        <v>392</v>
      </c>
      <c r="J6" s="343" t="s">
        <v>402</v>
      </c>
      <c r="K6" s="490" t="s">
        <v>394</v>
      </c>
    </row>
    <row r="7" spans="1:11" s="13" customFormat="1" ht="16.5" thickBot="1" x14ac:dyDescent="0.3">
      <c r="A7" s="33" t="s">
        <v>148</v>
      </c>
      <c r="B7" s="34" t="s">
        <v>171</v>
      </c>
      <c r="C7" s="127" t="s">
        <v>149</v>
      </c>
      <c r="D7" s="127" t="s">
        <v>150</v>
      </c>
      <c r="E7" s="127" t="s">
        <v>151</v>
      </c>
      <c r="F7" s="127" t="s">
        <v>188</v>
      </c>
      <c r="G7" s="34" t="s">
        <v>194</v>
      </c>
      <c r="H7" s="210" t="s">
        <v>195</v>
      </c>
      <c r="I7" s="265" t="s">
        <v>196</v>
      </c>
      <c r="J7" s="491" t="s">
        <v>197</v>
      </c>
      <c r="K7" s="492" t="s">
        <v>269</v>
      </c>
    </row>
    <row r="8" spans="1:11" x14ac:dyDescent="0.25">
      <c r="A8" s="32" t="s">
        <v>3</v>
      </c>
      <c r="B8" s="8" t="s">
        <v>152</v>
      </c>
      <c r="C8" s="161">
        <v>299157.57900000003</v>
      </c>
      <c r="D8" s="161">
        <v>315078.842</v>
      </c>
      <c r="E8" s="161">
        <v>239256.802</v>
      </c>
      <c r="F8" s="338">
        <f>E8/D8</f>
        <v>0.75935534255899029</v>
      </c>
      <c r="G8" s="8" t="s">
        <v>91</v>
      </c>
      <c r="H8" s="201">
        <v>351579</v>
      </c>
      <c r="I8" s="201">
        <v>384067.28200000001</v>
      </c>
      <c r="J8" s="161">
        <v>252758.84599999999</v>
      </c>
      <c r="K8" s="338">
        <f>J8/I8</f>
        <v>0.6581108515252283</v>
      </c>
    </row>
    <row r="9" spans="1:11" x14ac:dyDescent="0.25">
      <c r="A9" s="31" t="s">
        <v>5</v>
      </c>
      <c r="B9" s="4" t="s">
        <v>153</v>
      </c>
      <c r="C9" s="162">
        <v>148870</v>
      </c>
      <c r="D9" s="162">
        <v>175018.09899999999</v>
      </c>
      <c r="E9" s="162">
        <v>146069.74600000001</v>
      </c>
      <c r="F9" s="338">
        <f t="shared" ref="F9:F13" si="0">E9/D9</f>
        <v>0.83459794635296558</v>
      </c>
      <c r="G9" s="4" t="s">
        <v>154</v>
      </c>
      <c r="H9" s="202">
        <v>62543.8</v>
      </c>
      <c r="I9" s="202">
        <v>68859.789999999994</v>
      </c>
      <c r="J9" s="162">
        <v>43310.563999999998</v>
      </c>
      <c r="K9" s="338">
        <f t="shared" ref="K9:K13" si="1">J9/I9</f>
        <v>0.62896741334819639</v>
      </c>
    </row>
    <row r="10" spans="1:11" x14ac:dyDescent="0.25">
      <c r="A10" s="31" t="s">
        <v>15</v>
      </c>
      <c r="B10" s="4" t="s">
        <v>156</v>
      </c>
      <c r="C10" s="162">
        <v>42772</v>
      </c>
      <c r="D10" s="162">
        <v>67518.5</v>
      </c>
      <c r="E10" s="162">
        <v>57580.315999999999</v>
      </c>
      <c r="F10" s="338">
        <f t="shared" si="0"/>
        <v>0.85280798595940366</v>
      </c>
      <c r="G10" s="4" t="s">
        <v>157</v>
      </c>
      <c r="H10" s="202">
        <v>257135.7</v>
      </c>
      <c r="I10" s="202">
        <v>262389.73800000001</v>
      </c>
      <c r="J10" s="162">
        <v>133980.981</v>
      </c>
      <c r="K10" s="338">
        <f t="shared" si="1"/>
        <v>0.51061822013786218</v>
      </c>
    </row>
    <row r="11" spans="1:11" x14ac:dyDescent="0.25">
      <c r="A11" s="31" t="s">
        <v>20</v>
      </c>
      <c r="B11" s="4" t="s">
        <v>158</v>
      </c>
      <c r="C11" s="162">
        <v>102821</v>
      </c>
      <c r="D11" s="162">
        <v>102821</v>
      </c>
      <c r="E11" s="162">
        <v>101376.808</v>
      </c>
      <c r="F11" s="338">
        <f t="shared" si="0"/>
        <v>0.98595430894467084</v>
      </c>
      <c r="G11" s="4" t="s">
        <v>271</v>
      </c>
      <c r="H11" s="202">
        <v>5400</v>
      </c>
      <c r="I11" s="202">
        <v>6107.78</v>
      </c>
      <c r="J11" s="162">
        <v>2391.1819999999998</v>
      </c>
      <c r="K11" s="338">
        <f t="shared" si="1"/>
        <v>0.39149772912580344</v>
      </c>
    </row>
    <row r="12" spans="1:11" x14ac:dyDescent="0.25">
      <c r="A12" s="31" t="s">
        <v>29</v>
      </c>
      <c r="B12" s="4" t="s">
        <v>159</v>
      </c>
      <c r="C12" s="162">
        <v>61573.3</v>
      </c>
      <c r="D12" s="162">
        <v>61573.3</v>
      </c>
      <c r="E12" s="162">
        <v>51840.120999999999</v>
      </c>
      <c r="F12" s="338">
        <f t="shared" si="0"/>
        <v>0.84192533127183367</v>
      </c>
      <c r="G12" s="4" t="s">
        <v>95</v>
      </c>
      <c r="H12" s="202">
        <v>34490.1</v>
      </c>
      <c r="I12" s="202">
        <v>37360.1</v>
      </c>
      <c r="J12" s="162">
        <f>17627.828+6361.007</f>
        <v>23988.834999999999</v>
      </c>
      <c r="K12" s="338">
        <f t="shared" si="1"/>
        <v>0.6420977192245203</v>
      </c>
    </row>
    <row r="13" spans="1:11" x14ac:dyDescent="0.25">
      <c r="A13" s="31" t="s">
        <v>52</v>
      </c>
      <c r="B13" s="4" t="s">
        <v>160</v>
      </c>
      <c r="C13" s="162">
        <v>210</v>
      </c>
      <c r="D13" s="162">
        <v>210</v>
      </c>
      <c r="E13" s="162">
        <v>258</v>
      </c>
      <c r="F13" s="331">
        <f t="shared" si="0"/>
        <v>1.2285714285714286</v>
      </c>
      <c r="G13" s="4" t="s">
        <v>102</v>
      </c>
      <c r="H13" s="202">
        <v>22277.298999999999</v>
      </c>
      <c r="I13" s="202">
        <v>17846.892</v>
      </c>
      <c r="J13" s="162"/>
      <c r="K13" s="338">
        <f t="shared" si="1"/>
        <v>0</v>
      </c>
    </row>
    <row r="14" spans="1:11" ht="16.5" thickBot="1" x14ac:dyDescent="0.3">
      <c r="A14" s="35" t="s">
        <v>54</v>
      </c>
      <c r="B14" s="10" t="s">
        <v>161</v>
      </c>
      <c r="C14" s="163"/>
      <c r="D14" s="163"/>
      <c r="E14" s="163"/>
      <c r="F14" s="341"/>
      <c r="G14" s="10"/>
      <c r="H14" s="203"/>
      <c r="I14" s="202"/>
      <c r="J14" s="162"/>
      <c r="K14" s="341"/>
    </row>
    <row r="15" spans="1:11" ht="16.5" thickBot="1" x14ac:dyDescent="0.3">
      <c r="A15" s="33" t="s">
        <v>56</v>
      </c>
      <c r="B15" s="9" t="s">
        <v>162</v>
      </c>
      <c r="C15" s="165">
        <f>C8+C9+C11+C12+C13</f>
        <v>612631.87900000007</v>
      </c>
      <c r="D15" s="165">
        <f>D8+D9+D11+D12+D13</f>
        <v>654701.24100000004</v>
      </c>
      <c r="E15" s="165">
        <f>E8+E9+E11+E12+E13</f>
        <v>538801.47700000007</v>
      </c>
      <c r="F15" s="510">
        <f>E15/D15</f>
        <v>0.8229730497792046</v>
      </c>
      <c r="G15" s="9" t="s">
        <v>163</v>
      </c>
      <c r="H15" s="200">
        <f>SUM(H8:H14)</f>
        <v>733425.89899999998</v>
      </c>
      <c r="I15" s="209">
        <f>SUM(I8:I14)</f>
        <v>776631.58200000005</v>
      </c>
      <c r="J15" s="209">
        <f>SUM(J8:J14)</f>
        <v>456430.40799999994</v>
      </c>
      <c r="K15" s="339">
        <f>J15/I15</f>
        <v>0.58770518554575069</v>
      </c>
    </row>
    <row r="16" spans="1:11" x14ac:dyDescent="0.25">
      <c r="A16" s="187" t="s">
        <v>58</v>
      </c>
      <c r="B16" s="122" t="s">
        <v>166</v>
      </c>
      <c r="C16" s="188">
        <f>C17</f>
        <v>131721.753</v>
      </c>
      <c r="D16" s="188">
        <f>D17</f>
        <v>132858.07399999999</v>
      </c>
      <c r="E16" s="188">
        <f>E17</f>
        <v>132858.07399999999</v>
      </c>
      <c r="F16" s="336">
        <f>E16/D16</f>
        <v>1</v>
      </c>
      <c r="G16" s="8" t="s">
        <v>170</v>
      </c>
      <c r="H16" s="201"/>
      <c r="I16" s="202"/>
      <c r="J16" s="162"/>
      <c r="K16" s="338"/>
    </row>
    <row r="17" spans="1:11" x14ac:dyDescent="0.25">
      <c r="A17" s="31" t="s">
        <v>59</v>
      </c>
      <c r="B17" s="4" t="s">
        <v>164</v>
      </c>
      <c r="C17" s="162">
        <v>131721.753</v>
      </c>
      <c r="D17" s="162">
        <v>132858.07399999999</v>
      </c>
      <c r="E17" s="162">
        <v>132858.07399999999</v>
      </c>
      <c r="F17" s="331">
        <f>E17/D17</f>
        <v>1</v>
      </c>
      <c r="G17" s="4" t="s">
        <v>129</v>
      </c>
      <c r="H17" s="202">
        <v>10927.733</v>
      </c>
      <c r="I17" s="202">
        <v>10927.733</v>
      </c>
      <c r="J17" s="162">
        <v>10927.733</v>
      </c>
      <c r="K17" s="331">
        <f>J17/I17</f>
        <v>1</v>
      </c>
    </row>
    <row r="18" spans="1:11" x14ac:dyDescent="0.25">
      <c r="A18" s="31" t="s">
        <v>67</v>
      </c>
      <c r="B18" s="4" t="s">
        <v>167</v>
      </c>
      <c r="C18" s="162"/>
      <c r="D18" s="162"/>
      <c r="E18" s="162"/>
      <c r="F18" s="331"/>
      <c r="G18" s="4"/>
      <c r="H18" s="202"/>
      <c r="I18" s="202"/>
      <c r="J18" s="162"/>
      <c r="K18" s="331"/>
    </row>
    <row r="19" spans="1:11" ht="16.5" thickBot="1" x14ac:dyDescent="0.3">
      <c r="A19" s="35" t="s">
        <v>69</v>
      </c>
      <c r="B19" s="10" t="s">
        <v>165</v>
      </c>
      <c r="C19" s="163"/>
      <c r="D19" s="163"/>
      <c r="E19" s="163"/>
      <c r="F19" s="341"/>
      <c r="G19" s="10"/>
      <c r="H19" s="203"/>
      <c r="I19" s="202"/>
      <c r="J19" s="162"/>
      <c r="K19" s="341"/>
    </row>
    <row r="20" spans="1:11" ht="16.5" thickBot="1" x14ac:dyDescent="0.3">
      <c r="A20" s="33" t="s">
        <v>71</v>
      </c>
      <c r="B20" s="9" t="s">
        <v>168</v>
      </c>
      <c r="C20" s="165">
        <f>C16+C18</f>
        <v>131721.753</v>
      </c>
      <c r="D20" s="165">
        <f>D16+D18</f>
        <v>132858.07399999999</v>
      </c>
      <c r="E20" s="165">
        <f>E16+E18</f>
        <v>132858.07399999999</v>
      </c>
      <c r="F20" s="510">
        <f>E20/D20</f>
        <v>1</v>
      </c>
      <c r="G20" s="9" t="s">
        <v>319</v>
      </c>
      <c r="H20" s="200">
        <f>SUM(H16:H19)</f>
        <v>10927.733</v>
      </c>
      <c r="I20" s="209">
        <f>SUM(I16:I19)</f>
        <v>10927.733</v>
      </c>
      <c r="J20" s="209">
        <f>SUM(J16:J19)</f>
        <v>10927.733</v>
      </c>
      <c r="K20" s="339">
        <f>J20/I20</f>
        <v>1</v>
      </c>
    </row>
    <row r="21" spans="1:11" ht="16.5" thickBot="1" x14ac:dyDescent="0.3">
      <c r="A21" s="36" t="s">
        <v>77</v>
      </c>
      <c r="B21" s="37" t="s">
        <v>169</v>
      </c>
      <c r="C21" s="165">
        <f>C15+C20</f>
        <v>744353.6320000001</v>
      </c>
      <c r="D21" s="165">
        <f>D15+D20</f>
        <v>787559.31500000006</v>
      </c>
      <c r="E21" s="165">
        <f>E15+E20</f>
        <v>671659.55100000009</v>
      </c>
      <c r="F21" s="510">
        <f>E21/D21</f>
        <v>0.85283678093503346</v>
      </c>
      <c r="G21" s="9" t="s">
        <v>172</v>
      </c>
      <c r="H21" s="200">
        <f>H15+H20</f>
        <v>744353.63199999998</v>
      </c>
      <c r="I21" s="209">
        <f>I15+I20</f>
        <v>787559.31500000006</v>
      </c>
      <c r="J21" s="209">
        <f>J15+J20</f>
        <v>467358.14099999995</v>
      </c>
      <c r="K21" s="339">
        <f>J21/I21</f>
        <v>0.59342595801815878</v>
      </c>
    </row>
    <row r="22" spans="1:11" ht="16.5" thickBot="1" x14ac:dyDescent="0.3">
      <c r="A22" s="38" t="s">
        <v>79</v>
      </c>
      <c r="B22" s="37" t="s">
        <v>174</v>
      </c>
      <c r="C22" s="165">
        <f>H15-C15</f>
        <v>120794.0199999999</v>
      </c>
      <c r="D22" s="165">
        <f>I15-D15</f>
        <v>121930.34100000001</v>
      </c>
      <c r="E22" s="165"/>
      <c r="F22" s="510"/>
      <c r="G22" s="9" t="s">
        <v>173</v>
      </c>
      <c r="H22" s="200">
        <v>0</v>
      </c>
      <c r="I22" s="209">
        <v>0</v>
      </c>
      <c r="J22" s="209">
        <f>E15-J15</f>
        <v>82371.069000000134</v>
      </c>
      <c r="K22" s="349"/>
    </row>
    <row r="23" spans="1:11" ht="16.5" thickBot="1" x14ac:dyDescent="0.3">
      <c r="A23" s="38" t="s">
        <v>155</v>
      </c>
      <c r="B23" s="37" t="s">
        <v>175</v>
      </c>
      <c r="C23" s="165">
        <f>C21-H21</f>
        <v>0</v>
      </c>
      <c r="D23" s="165">
        <f>D21-I21</f>
        <v>0</v>
      </c>
      <c r="E23" s="165"/>
      <c r="F23" s="510"/>
      <c r="G23" s="9" t="s">
        <v>176</v>
      </c>
      <c r="H23" s="200">
        <v>0</v>
      </c>
      <c r="I23" s="209">
        <v>0</v>
      </c>
      <c r="J23" s="209">
        <f>E21-J21</f>
        <v>204301.41000000015</v>
      </c>
      <c r="K23" s="349"/>
    </row>
  </sheetData>
  <mergeCells count="5">
    <mergeCell ref="B1:I1"/>
    <mergeCell ref="A3:K3"/>
    <mergeCell ref="A2:K2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workbookViewId="0">
      <selection activeCell="C30" sqref="C30"/>
    </sheetView>
  </sheetViews>
  <sheetFormatPr defaultRowHeight="15" x14ac:dyDescent="0.25"/>
  <cols>
    <col min="1" max="1" width="5.7109375" style="461" customWidth="1"/>
    <col min="2" max="2" width="60.28515625" style="371" bestFit="1" customWidth="1"/>
    <col min="3" max="5" width="14.7109375" style="482" customWidth="1"/>
    <col min="6" max="6" width="9.42578125" style="482" bestFit="1" customWidth="1"/>
    <col min="7" max="7" width="62.5703125" style="371" bestFit="1" customWidth="1"/>
    <col min="8" max="8" width="14.7109375" style="482" customWidth="1"/>
    <col min="9" max="9" width="12.5703125" style="371" customWidth="1"/>
    <col min="10" max="10" width="12.42578125" style="381" bestFit="1" customWidth="1"/>
    <col min="11" max="16384" width="9.140625" style="371"/>
  </cols>
  <sheetData>
    <row r="1" spans="1:11" x14ac:dyDescent="0.25">
      <c r="B1" s="553" t="s">
        <v>403</v>
      </c>
      <c r="C1" s="553"/>
      <c r="D1" s="553"/>
      <c r="E1" s="553"/>
      <c r="F1" s="553"/>
      <c r="G1" s="553"/>
      <c r="H1" s="553"/>
      <c r="I1" s="553"/>
      <c r="J1" s="553"/>
      <c r="K1" s="553"/>
    </row>
    <row r="2" spans="1:11" ht="60" customHeight="1" x14ac:dyDescent="0.25">
      <c r="A2" s="552" t="s">
        <v>539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ht="15.75" x14ac:dyDescent="0.25">
      <c r="A3" s="550" t="s">
        <v>538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</row>
    <row r="4" spans="1:11" x14ac:dyDescent="0.25">
      <c r="A4" s="554" t="s">
        <v>145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15.75" thickBot="1" x14ac:dyDescent="0.3">
      <c r="A5" s="555" t="s">
        <v>343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</row>
    <row r="6" spans="1:11" s="377" customFormat="1" ht="29.25" thickBot="1" x14ac:dyDescent="0.3">
      <c r="A6" s="462" t="s">
        <v>4</v>
      </c>
      <c r="B6" s="407" t="s">
        <v>146</v>
      </c>
      <c r="C6" s="360" t="s">
        <v>391</v>
      </c>
      <c r="D6" s="463" t="s">
        <v>392</v>
      </c>
      <c r="E6" s="100" t="s">
        <v>402</v>
      </c>
      <c r="F6" s="256" t="s">
        <v>394</v>
      </c>
      <c r="G6" s="407" t="s">
        <v>147</v>
      </c>
      <c r="H6" s="360" t="s">
        <v>391</v>
      </c>
      <c r="I6" s="361" t="s">
        <v>392</v>
      </c>
      <c r="J6" s="350" t="s">
        <v>402</v>
      </c>
      <c r="K6" s="256" t="s">
        <v>394</v>
      </c>
    </row>
    <row r="7" spans="1:11" s="461" customFormat="1" ht="15.75" thickBot="1" x14ac:dyDescent="0.3">
      <c r="A7" s="464" t="s">
        <v>148</v>
      </c>
      <c r="B7" s="465" t="s">
        <v>171</v>
      </c>
      <c r="C7" s="466" t="s">
        <v>149</v>
      </c>
      <c r="D7" s="466" t="s">
        <v>150</v>
      </c>
      <c r="E7" s="466" t="s">
        <v>151</v>
      </c>
      <c r="F7" s="466" t="s">
        <v>188</v>
      </c>
      <c r="G7" s="465" t="s">
        <v>194</v>
      </c>
      <c r="H7" s="467" t="s">
        <v>195</v>
      </c>
      <c r="I7" s="468" t="s">
        <v>196</v>
      </c>
      <c r="J7" s="469" t="s">
        <v>197</v>
      </c>
      <c r="K7" s="470" t="s">
        <v>269</v>
      </c>
    </row>
    <row r="8" spans="1:11" x14ac:dyDescent="0.25">
      <c r="A8" s="471" t="s">
        <v>3</v>
      </c>
      <c r="B8" s="416" t="s">
        <v>177</v>
      </c>
      <c r="C8" s="435">
        <v>307909</v>
      </c>
      <c r="D8" s="435">
        <v>298129.05499999999</v>
      </c>
      <c r="E8" s="435">
        <v>207109.965</v>
      </c>
      <c r="F8" s="383">
        <f>E8/D8</f>
        <v>0.69469902891551449</v>
      </c>
      <c r="G8" s="416" t="s">
        <v>109</v>
      </c>
      <c r="H8" s="364">
        <v>622689</v>
      </c>
      <c r="I8" s="366">
        <v>613671.66599999997</v>
      </c>
      <c r="J8" s="418">
        <v>3940.0590000000002</v>
      </c>
      <c r="K8" s="367">
        <f>J8/I8</f>
        <v>6.4204675208191873E-3</v>
      </c>
    </row>
    <row r="9" spans="1:11" x14ac:dyDescent="0.25">
      <c r="A9" s="472" t="s">
        <v>5</v>
      </c>
      <c r="B9" s="420" t="s">
        <v>178</v>
      </c>
      <c r="C9" s="418">
        <v>307909</v>
      </c>
      <c r="D9" s="418">
        <v>298129.05499999999</v>
      </c>
      <c r="E9" s="418"/>
      <c r="F9" s="383">
        <f t="shared" ref="F9:F21" si="0">E9/D9</f>
        <v>0</v>
      </c>
      <c r="G9" s="420" t="s">
        <v>374</v>
      </c>
      <c r="H9" s="366">
        <v>606222</v>
      </c>
      <c r="I9" s="366">
        <v>595927.43599999999</v>
      </c>
      <c r="J9" s="418"/>
      <c r="K9" s="367">
        <f t="shared" ref="K9:K21" si="1">J9/I9</f>
        <v>0</v>
      </c>
    </row>
    <row r="10" spans="1:11" x14ac:dyDescent="0.25">
      <c r="A10" s="472" t="s">
        <v>15</v>
      </c>
      <c r="B10" s="420" t="s">
        <v>53</v>
      </c>
      <c r="C10" s="418"/>
      <c r="D10" s="418"/>
      <c r="E10" s="418"/>
      <c r="F10" s="383"/>
      <c r="G10" s="420" t="s">
        <v>112</v>
      </c>
      <c r="H10" s="366">
        <v>22643</v>
      </c>
      <c r="I10" s="366">
        <v>26870.351999999999</v>
      </c>
      <c r="J10" s="418">
        <v>24446.257000000001</v>
      </c>
      <c r="K10" s="367">
        <f t="shared" si="1"/>
        <v>0.90978551378858019</v>
      </c>
    </row>
    <row r="11" spans="1:11" x14ac:dyDescent="0.25">
      <c r="A11" s="472" t="s">
        <v>20</v>
      </c>
      <c r="B11" s="420" t="s">
        <v>179</v>
      </c>
      <c r="C11" s="418"/>
      <c r="D11" s="418"/>
      <c r="E11" s="418"/>
      <c r="F11" s="383"/>
      <c r="G11" s="420" t="s">
        <v>181</v>
      </c>
      <c r="H11" s="366"/>
      <c r="I11" s="366"/>
      <c r="J11" s="418"/>
      <c r="K11" s="367"/>
    </row>
    <row r="12" spans="1:11" x14ac:dyDescent="0.25">
      <c r="A12" s="472" t="s">
        <v>29</v>
      </c>
      <c r="B12" s="420" t="s">
        <v>180</v>
      </c>
      <c r="C12" s="418"/>
      <c r="D12" s="418"/>
      <c r="E12" s="418"/>
      <c r="F12" s="383"/>
      <c r="G12" s="420" t="s">
        <v>116</v>
      </c>
      <c r="H12" s="366"/>
      <c r="I12" s="366"/>
      <c r="J12" s="418"/>
      <c r="K12" s="367"/>
    </row>
    <row r="13" spans="1:11" x14ac:dyDescent="0.25">
      <c r="A13" s="472" t="s">
        <v>52</v>
      </c>
      <c r="B13" s="420" t="s">
        <v>387</v>
      </c>
      <c r="C13" s="418"/>
      <c r="D13" s="418"/>
      <c r="E13" s="418"/>
      <c r="F13" s="383"/>
      <c r="G13" s="420" t="s">
        <v>317</v>
      </c>
      <c r="H13" s="366">
        <v>3829</v>
      </c>
      <c r="I13" s="366">
        <v>4343.6189999999997</v>
      </c>
      <c r="J13" s="418"/>
      <c r="K13" s="367">
        <f t="shared" si="1"/>
        <v>0</v>
      </c>
    </row>
    <row r="14" spans="1:11" ht="15.75" thickBot="1" x14ac:dyDescent="0.3">
      <c r="A14" s="473" t="s">
        <v>54</v>
      </c>
      <c r="B14" s="424" t="s">
        <v>372</v>
      </c>
      <c r="C14" s="425">
        <v>15000</v>
      </c>
      <c r="D14" s="425">
        <v>15000</v>
      </c>
      <c r="E14" s="425">
        <v>15000</v>
      </c>
      <c r="F14" s="392">
        <f t="shared" si="0"/>
        <v>1</v>
      </c>
      <c r="G14" s="424"/>
      <c r="H14" s="368"/>
      <c r="I14" s="366"/>
      <c r="J14" s="418"/>
      <c r="K14" s="385"/>
    </row>
    <row r="15" spans="1:11" ht="15.75" thickBot="1" x14ac:dyDescent="0.3">
      <c r="A15" s="464" t="s">
        <v>56</v>
      </c>
      <c r="B15" s="413" t="s">
        <v>182</v>
      </c>
      <c r="C15" s="474">
        <f>C8+C10+C13+C14</f>
        <v>322909</v>
      </c>
      <c r="D15" s="474">
        <f>D8+D10+D13+D14+D11</f>
        <v>313129.05499999999</v>
      </c>
      <c r="E15" s="362">
        <f>E8+E10+E13+E14+E11</f>
        <v>222109.965</v>
      </c>
      <c r="F15" s="384">
        <f t="shared" si="0"/>
        <v>0.7093240357398326</v>
      </c>
      <c r="G15" s="483" t="s">
        <v>318</v>
      </c>
      <c r="H15" s="362">
        <f>H8+H10+H12+H13</f>
        <v>649161</v>
      </c>
      <c r="I15" s="380">
        <f>I8+I10+I12+I13</f>
        <v>644885.63699999987</v>
      </c>
      <c r="J15" s="380">
        <f>J8+J10+J12+J13</f>
        <v>28386.316000000003</v>
      </c>
      <c r="K15" s="384">
        <f t="shared" si="1"/>
        <v>4.4017596875087495E-2</v>
      </c>
    </row>
    <row r="16" spans="1:11" ht="15.75" thickBot="1" x14ac:dyDescent="0.3">
      <c r="A16" s="475" t="s">
        <v>58</v>
      </c>
      <c r="B16" s="476" t="s">
        <v>166</v>
      </c>
      <c r="C16" s="477">
        <f>C17</f>
        <v>326252</v>
      </c>
      <c r="D16" s="477">
        <f>D17</f>
        <v>331756.58199999999</v>
      </c>
      <c r="E16" s="484">
        <f>E17</f>
        <v>331756.58199999999</v>
      </c>
      <c r="F16" s="384">
        <f t="shared" si="0"/>
        <v>1</v>
      </c>
      <c r="G16" s="485" t="s">
        <v>184</v>
      </c>
      <c r="H16" s="364"/>
      <c r="I16" s="366"/>
      <c r="J16" s="418"/>
      <c r="K16" s="383"/>
    </row>
    <row r="17" spans="1:11" x14ac:dyDescent="0.25">
      <c r="A17" s="472" t="s">
        <v>59</v>
      </c>
      <c r="B17" s="420" t="s">
        <v>164</v>
      </c>
      <c r="C17" s="418">
        <v>326252</v>
      </c>
      <c r="D17" s="418">
        <v>331756.58199999999</v>
      </c>
      <c r="E17" s="418">
        <v>331756.58199999999</v>
      </c>
      <c r="F17" s="383">
        <f t="shared" si="0"/>
        <v>1</v>
      </c>
      <c r="G17" s="420"/>
      <c r="H17" s="366"/>
      <c r="I17" s="366"/>
      <c r="J17" s="418"/>
      <c r="K17" s="367"/>
    </row>
    <row r="18" spans="1:11" x14ac:dyDescent="0.25">
      <c r="A18" s="472" t="s">
        <v>67</v>
      </c>
      <c r="B18" s="420" t="s">
        <v>167</v>
      </c>
      <c r="C18" s="418"/>
      <c r="D18" s="418"/>
      <c r="E18" s="418"/>
      <c r="F18" s="383"/>
      <c r="G18" s="420"/>
      <c r="H18" s="366"/>
      <c r="I18" s="366"/>
      <c r="J18" s="418"/>
      <c r="K18" s="367"/>
    </row>
    <row r="19" spans="1:11" ht="15.75" thickBot="1" x14ac:dyDescent="0.3">
      <c r="A19" s="473" t="s">
        <v>69</v>
      </c>
      <c r="B19" s="424" t="s">
        <v>183</v>
      </c>
      <c r="C19" s="425"/>
      <c r="D19" s="425"/>
      <c r="E19" s="425"/>
      <c r="F19" s="392"/>
      <c r="G19" s="424"/>
      <c r="H19" s="368"/>
      <c r="I19" s="368"/>
      <c r="J19" s="425"/>
      <c r="K19" s="385"/>
    </row>
    <row r="20" spans="1:11" ht="15.75" thickBot="1" x14ac:dyDescent="0.3">
      <c r="A20" s="464" t="s">
        <v>71</v>
      </c>
      <c r="B20" s="413" t="s">
        <v>185</v>
      </c>
      <c r="C20" s="474">
        <f>C16+C18</f>
        <v>326252</v>
      </c>
      <c r="D20" s="474">
        <f>D16+D18</f>
        <v>331756.58199999999</v>
      </c>
      <c r="E20" s="362">
        <f>E16+E18</f>
        <v>331756.58199999999</v>
      </c>
      <c r="F20" s="384">
        <f t="shared" si="0"/>
        <v>1</v>
      </c>
      <c r="G20" s="483" t="s">
        <v>186</v>
      </c>
      <c r="H20" s="362"/>
      <c r="I20" s="478"/>
      <c r="J20" s="459"/>
      <c r="K20" s="390"/>
    </row>
    <row r="21" spans="1:11" ht="15.75" thickBot="1" x14ac:dyDescent="0.3">
      <c r="A21" s="479" t="s">
        <v>77</v>
      </c>
      <c r="B21" s="480" t="s">
        <v>169</v>
      </c>
      <c r="C21" s="474">
        <f>C15+C20</f>
        <v>649161</v>
      </c>
      <c r="D21" s="474">
        <f>D15+D20</f>
        <v>644885.63699999999</v>
      </c>
      <c r="E21" s="362">
        <f>E15+E20</f>
        <v>553866.54700000002</v>
      </c>
      <c r="F21" s="384">
        <f t="shared" si="0"/>
        <v>0.85886010669516588</v>
      </c>
      <c r="G21" s="483" t="s">
        <v>172</v>
      </c>
      <c r="H21" s="362">
        <f>H15+H20</f>
        <v>649161</v>
      </c>
      <c r="I21" s="380">
        <f>I15+I20</f>
        <v>644885.63699999987</v>
      </c>
      <c r="J21" s="380">
        <f>J15+J20</f>
        <v>28386.316000000003</v>
      </c>
      <c r="K21" s="384">
        <f t="shared" si="1"/>
        <v>4.4017596875087495E-2</v>
      </c>
    </row>
    <row r="22" spans="1:11" ht="15.75" thickBot="1" x14ac:dyDescent="0.3">
      <c r="A22" s="468" t="s">
        <v>79</v>
      </c>
      <c r="B22" s="480" t="s">
        <v>174</v>
      </c>
      <c r="C22" s="474">
        <f>H15-C15</f>
        <v>326252</v>
      </c>
      <c r="D22" s="474">
        <f>I15-D15</f>
        <v>331756.58199999988</v>
      </c>
      <c r="E22" s="474"/>
      <c r="F22" s="481"/>
      <c r="G22" s="413" t="s">
        <v>173</v>
      </c>
      <c r="H22" s="362">
        <v>0</v>
      </c>
      <c r="I22" s="380">
        <v>0</v>
      </c>
      <c r="J22" s="380">
        <f>E15-J15</f>
        <v>193723.649</v>
      </c>
      <c r="K22" s="383"/>
    </row>
    <row r="23" spans="1:11" ht="15.75" thickBot="1" x14ac:dyDescent="0.3">
      <c r="A23" s="468" t="s">
        <v>155</v>
      </c>
      <c r="B23" s="480" t="s">
        <v>175</v>
      </c>
      <c r="C23" s="474">
        <f>C21-H21</f>
        <v>0</v>
      </c>
      <c r="D23" s="474">
        <f>D21-I21</f>
        <v>0</v>
      </c>
      <c r="E23" s="474"/>
      <c r="F23" s="481"/>
      <c r="G23" s="413" t="s">
        <v>176</v>
      </c>
      <c r="H23" s="362">
        <f>H21-C21</f>
        <v>0</v>
      </c>
      <c r="I23" s="380">
        <f>I21-D21</f>
        <v>0</v>
      </c>
      <c r="J23" s="430">
        <f>E21-J21</f>
        <v>525480.23100000003</v>
      </c>
      <c r="K23" s="367"/>
    </row>
  </sheetData>
  <mergeCells count="5">
    <mergeCell ref="A3:K3"/>
    <mergeCell ref="A2:K2"/>
    <mergeCell ref="B1:K1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93"/>
  <sheetViews>
    <sheetView showWhiteSpace="0" view="pageBreakPreview" zoomScaleNormal="100" zoomScaleSheetLayoutView="100" workbookViewId="0">
      <pane xSplit="4" ySplit="4" topLeftCell="T41" activePane="bottomRight" state="frozen"/>
      <selection pane="topRight" activeCell="D1" sqref="D1"/>
      <selection pane="bottomLeft" activeCell="A6" sqref="A6"/>
      <selection pane="bottomRight" activeCell="U63" sqref="U63:V63"/>
    </sheetView>
  </sheetViews>
  <sheetFormatPr defaultRowHeight="15" x14ac:dyDescent="0.25"/>
  <cols>
    <col min="1" max="2" width="8.28515625" style="282" customWidth="1"/>
    <col min="3" max="3" width="14" style="282" customWidth="1"/>
    <col min="4" max="4" width="63.5703125" style="282" customWidth="1"/>
    <col min="5" max="6" width="11.28515625" style="283" bestFit="1" customWidth="1"/>
    <col min="7" max="7" width="11.28515625" style="283" customWidth="1"/>
    <col min="8" max="12" width="12.42578125" style="283" bestFit="1" customWidth="1"/>
    <col min="13" max="16" width="12.42578125" style="283" customWidth="1"/>
    <col min="17" max="18" width="12.42578125" style="283" bestFit="1" customWidth="1"/>
    <col min="19" max="19" width="12.42578125" style="283" customWidth="1"/>
    <col min="20" max="20" width="13.42578125" style="283" customWidth="1"/>
    <col min="21" max="22" width="14" style="283" customWidth="1"/>
    <col min="23" max="23" width="11" style="283" bestFit="1" customWidth="1"/>
    <col min="24" max="24" width="8.42578125" style="283" bestFit="1" customWidth="1"/>
    <col min="25" max="25" width="8.42578125" style="283" customWidth="1"/>
    <col min="26" max="26" width="9.5703125" style="283" bestFit="1" customWidth="1"/>
    <col min="27" max="28" width="8.42578125" style="283" customWidth="1"/>
    <col min="29" max="29" width="9.5703125" style="283" bestFit="1" customWidth="1"/>
    <col min="30" max="31" width="8.42578125" style="283" customWidth="1"/>
    <col min="32" max="33" width="12.42578125" style="283" bestFit="1" customWidth="1"/>
    <col min="34" max="34" width="12.42578125" style="283" customWidth="1"/>
    <col min="35" max="35" width="14.5703125" style="283" customWidth="1"/>
    <col min="36" max="36" width="11.28515625" style="282" hidden="1" customWidth="1"/>
    <col min="37" max="37" width="14" style="282" customWidth="1"/>
    <col min="38" max="38" width="14.28515625" style="282" bestFit="1" customWidth="1"/>
    <col min="39" max="39" width="9.42578125" style="320" bestFit="1" customWidth="1"/>
    <col min="40" max="16384" width="9.140625" style="282"/>
  </cols>
  <sheetData>
    <row r="1" spans="1:41" x14ac:dyDescent="0.25">
      <c r="A1" s="281"/>
      <c r="B1" s="281"/>
      <c r="W1" s="556" t="s">
        <v>404</v>
      </c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</row>
    <row r="2" spans="1:41" ht="61.5" customHeight="1" x14ac:dyDescent="0.25">
      <c r="A2" s="284">
        <v>1</v>
      </c>
      <c r="B2" s="284"/>
      <c r="C2" s="284"/>
      <c r="D2" s="560" t="s">
        <v>540</v>
      </c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2"/>
    </row>
    <row r="3" spans="1:41" ht="62.25" customHeight="1" x14ac:dyDescent="0.25">
      <c r="A3" s="284">
        <v>2</v>
      </c>
      <c r="B3" s="284"/>
      <c r="C3" s="285" t="s">
        <v>198</v>
      </c>
      <c r="D3" s="286" t="s">
        <v>199</v>
      </c>
      <c r="E3" s="557" t="s">
        <v>159</v>
      </c>
      <c r="F3" s="558"/>
      <c r="G3" s="559"/>
      <c r="H3" s="557" t="s">
        <v>158</v>
      </c>
      <c r="I3" s="558"/>
      <c r="J3" s="559"/>
      <c r="K3" s="557" t="s">
        <v>200</v>
      </c>
      <c r="L3" s="558"/>
      <c r="M3" s="559"/>
      <c r="N3" s="557" t="s">
        <v>372</v>
      </c>
      <c r="O3" s="558"/>
      <c r="P3" s="559"/>
      <c r="Q3" s="557" t="s">
        <v>201</v>
      </c>
      <c r="R3" s="558"/>
      <c r="S3" s="559"/>
      <c r="T3" s="557" t="s">
        <v>202</v>
      </c>
      <c r="U3" s="558"/>
      <c r="V3" s="559"/>
      <c r="W3" s="557" t="s">
        <v>203</v>
      </c>
      <c r="X3" s="558"/>
      <c r="Y3" s="559"/>
      <c r="Z3" s="557" t="s">
        <v>371</v>
      </c>
      <c r="AA3" s="558"/>
      <c r="AB3" s="559"/>
      <c r="AC3" s="557" t="s">
        <v>376</v>
      </c>
      <c r="AD3" s="558"/>
      <c r="AE3" s="559"/>
      <c r="AF3" s="557" t="s">
        <v>204</v>
      </c>
      <c r="AG3" s="558"/>
      <c r="AH3" s="559"/>
      <c r="AI3" s="557" t="s">
        <v>205</v>
      </c>
      <c r="AJ3" s="558"/>
      <c r="AK3" s="558"/>
      <c r="AL3" s="558"/>
      <c r="AM3" s="559"/>
    </row>
    <row r="4" spans="1:41" s="292" customFormat="1" ht="43.5" customHeight="1" x14ac:dyDescent="0.25">
      <c r="A4" s="287">
        <v>3</v>
      </c>
      <c r="B4" s="287"/>
      <c r="C4" s="287"/>
      <c r="D4" s="286" t="s">
        <v>187</v>
      </c>
      <c r="E4" s="288" t="s">
        <v>405</v>
      </c>
      <c r="F4" s="100" t="s">
        <v>406</v>
      </c>
      <c r="G4" s="100" t="s">
        <v>393</v>
      </c>
      <c r="H4" s="288" t="s">
        <v>405</v>
      </c>
      <c r="I4" s="100" t="s">
        <v>406</v>
      </c>
      <c r="J4" s="100" t="s">
        <v>393</v>
      </c>
      <c r="K4" s="288" t="s">
        <v>405</v>
      </c>
      <c r="L4" s="100" t="s">
        <v>406</v>
      </c>
      <c r="M4" s="100" t="s">
        <v>393</v>
      </c>
      <c r="N4" s="288" t="s">
        <v>405</v>
      </c>
      <c r="O4" s="100" t="s">
        <v>406</v>
      </c>
      <c r="P4" s="100" t="s">
        <v>393</v>
      </c>
      <c r="Q4" s="288" t="s">
        <v>405</v>
      </c>
      <c r="R4" s="100" t="s">
        <v>406</v>
      </c>
      <c r="S4" s="100" t="s">
        <v>393</v>
      </c>
      <c r="T4" s="288" t="s">
        <v>407</v>
      </c>
      <c r="U4" s="100" t="s">
        <v>406</v>
      </c>
      <c r="V4" s="100" t="s">
        <v>393</v>
      </c>
      <c r="W4" s="288" t="s">
        <v>405</v>
      </c>
      <c r="X4" s="100" t="s">
        <v>406</v>
      </c>
      <c r="Y4" s="100" t="s">
        <v>393</v>
      </c>
      <c r="Z4" s="288" t="s">
        <v>405</v>
      </c>
      <c r="AA4" s="100" t="s">
        <v>406</v>
      </c>
      <c r="AB4" s="100" t="s">
        <v>393</v>
      </c>
      <c r="AC4" s="288" t="s">
        <v>405</v>
      </c>
      <c r="AD4" s="100" t="s">
        <v>406</v>
      </c>
      <c r="AE4" s="100" t="s">
        <v>393</v>
      </c>
      <c r="AF4" s="288" t="s">
        <v>405</v>
      </c>
      <c r="AG4" s="100" t="s">
        <v>406</v>
      </c>
      <c r="AH4" s="100" t="s">
        <v>393</v>
      </c>
      <c r="AI4" s="289" t="s">
        <v>405</v>
      </c>
      <c r="AJ4" s="290" t="s">
        <v>206</v>
      </c>
      <c r="AK4" s="191" t="s">
        <v>406</v>
      </c>
      <c r="AL4" s="100" t="s">
        <v>393</v>
      </c>
      <c r="AM4" s="318" t="s">
        <v>394</v>
      </c>
      <c r="AN4" s="291"/>
      <c r="AO4" s="291"/>
    </row>
    <row r="5" spans="1:41" x14ac:dyDescent="0.25">
      <c r="A5" s="284">
        <v>4</v>
      </c>
      <c r="B5" s="284">
        <v>104</v>
      </c>
      <c r="C5" s="284" t="s">
        <v>207</v>
      </c>
      <c r="D5" s="293" t="s">
        <v>208</v>
      </c>
      <c r="E5" s="294"/>
      <c r="F5" s="294"/>
      <c r="G5" s="294"/>
      <c r="H5" s="128">
        <v>90983</v>
      </c>
      <c r="I5" s="128">
        <v>90983</v>
      </c>
      <c r="J5" s="128">
        <v>90494.648000000001</v>
      </c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5">
        <f>E5+H5+K5+Q5+T5+W5+AF5</f>
        <v>90983</v>
      </c>
      <c r="AJ5" s="295">
        <f t="shared" ref="AJ5" si="0">F5+I5+L5+R5+U5+X5+AG5</f>
        <v>90983</v>
      </c>
      <c r="AK5" s="295">
        <f>F5+I5+L5+R5+U5+X5+AG5</f>
        <v>90983</v>
      </c>
      <c r="AL5" s="295">
        <f>G5+J5+M5+S5+V5+Y5+AH5</f>
        <v>90494.648000000001</v>
      </c>
      <c r="AM5" s="321">
        <f>AL5/AK5</f>
        <v>0.99463249178417945</v>
      </c>
      <c r="AN5" s="297"/>
      <c r="AO5" s="297"/>
    </row>
    <row r="6" spans="1:41" x14ac:dyDescent="0.25">
      <c r="A6" s="284">
        <v>5</v>
      </c>
      <c r="B6" s="284">
        <v>105</v>
      </c>
      <c r="C6" s="284" t="s">
        <v>207</v>
      </c>
      <c r="D6" s="293" t="s">
        <v>209</v>
      </c>
      <c r="E6" s="294"/>
      <c r="F6" s="294"/>
      <c r="G6" s="294"/>
      <c r="H6" s="128">
        <v>44</v>
      </c>
      <c r="I6" s="128">
        <v>44</v>
      </c>
      <c r="J6" s="128">
        <v>90.048000000000002</v>
      </c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5">
        <f t="shared" ref="AI6:AI62" si="1">E6+H6+K6+Q6+T6+W6+AF6</f>
        <v>44</v>
      </c>
      <c r="AJ6" s="295">
        <f t="shared" ref="AJ6:AJ62" si="2">F6+I6+L6+R6+U6+X6+AG6</f>
        <v>44</v>
      </c>
      <c r="AK6" s="295">
        <f t="shared" ref="AK6:AL11" si="3">F6+I6+L6+R6+U6+X6+AG6</f>
        <v>44</v>
      </c>
      <c r="AL6" s="295">
        <f t="shared" si="3"/>
        <v>90.048000000000002</v>
      </c>
      <c r="AM6" s="321">
        <f t="shared" ref="AM6:AM74" si="4">AL6/AK6</f>
        <v>2.0465454545454547</v>
      </c>
    </row>
    <row r="7" spans="1:41" x14ac:dyDescent="0.25">
      <c r="A7" s="284">
        <v>6</v>
      </c>
      <c r="B7" s="284">
        <v>106</v>
      </c>
      <c r="C7" s="284" t="s">
        <v>207</v>
      </c>
      <c r="D7" s="293" t="s">
        <v>210</v>
      </c>
      <c r="E7" s="294"/>
      <c r="F7" s="294"/>
      <c r="G7" s="294"/>
      <c r="H7" s="128">
        <v>10605</v>
      </c>
      <c r="I7" s="128">
        <v>10605</v>
      </c>
      <c r="J7" s="128">
        <v>9717.7939999999999</v>
      </c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5">
        <f t="shared" si="1"/>
        <v>10605</v>
      </c>
      <c r="AJ7" s="295">
        <f t="shared" si="2"/>
        <v>10605</v>
      </c>
      <c r="AK7" s="295">
        <f t="shared" si="3"/>
        <v>10605</v>
      </c>
      <c r="AL7" s="295">
        <f t="shared" si="3"/>
        <v>9717.7939999999999</v>
      </c>
      <c r="AM7" s="321">
        <f t="shared" si="4"/>
        <v>0.91634078264969354</v>
      </c>
    </row>
    <row r="8" spans="1:41" x14ac:dyDescent="0.25">
      <c r="A8" s="284">
        <v>7</v>
      </c>
      <c r="B8" s="284">
        <v>107</v>
      </c>
      <c r="C8" s="284" t="s">
        <v>207</v>
      </c>
      <c r="D8" s="293" t="s">
        <v>211</v>
      </c>
      <c r="E8" s="294"/>
      <c r="F8" s="294"/>
      <c r="G8" s="294"/>
      <c r="H8" s="128">
        <v>695</v>
      </c>
      <c r="I8" s="128">
        <v>695</v>
      </c>
      <c r="J8" s="128">
        <v>458.339</v>
      </c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5">
        <f t="shared" si="1"/>
        <v>695</v>
      </c>
      <c r="AJ8" s="295">
        <f t="shared" si="2"/>
        <v>695</v>
      </c>
      <c r="AK8" s="295">
        <f t="shared" si="3"/>
        <v>695</v>
      </c>
      <c r="AL8" s="295">
        <f t="shared" si="3"/>
        <v>458.339</v>
      </c>
      <c r="AM8" s="321">
        <f t="shared" si="4"/>
        <v>0.65948057553956829</v>
      </c>
    </row>
    <row r="9" spans="1:41" x14ac:dyDescent="0.25">
      <c r="A9" s="284">
        <v>8</v>
      </c>
      <c r="B9" s="284">
        <v>108</v>
      </c>
      <c r="C9" s="284" t="s">
        <v>207</v>
      </c>
      <c r="D9" s="293" t="s">
        <v>50</v>
      </c>
      <c r="E9" s="128"/>
      <c r="F9" s="128"/>
      <c r="G9" s="128"/>
      <c r="H9" s="294">
        <v>195</v>
      </c>
      <c r="I9" s="294">
        <v>195</v>
      </c>
      <c r="J9" s="294">
        <v>330.51499999999999</v>
      </c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5">
        <f t="shared" si="1"/>
        <v>195</v>
      </c>
      <c r="AJ9" s="295">
        <f t="shared" si="2"/>
        <v>195</v>
      </c>
      <c r="AK9" s="295">
        <f t="shared" si="3"/>
        <v>195</v>
      </c>
      <c r="AL9" s="295">
        <f t="shared" si="3"/>
        <v>330.51499999999999</v>
      </c>
      <c r="AM9" s="321">
        <f t="shared" si="4"/>
        <v>1.6949487179487179</v>
      </c>
    </row>
    <row r="10" spans="1:41" x14ac:dyDescent="0.25">
      <c r="A10" s="284">
        <v>9</v>
      </c>
      <c r="B10" s="284">
        <v>109</v>
      </c>
      <c r="C10" s="284" t="s">
        <v>207</v>
      </c>
      <c r="D10" s="293" t="s">
        <v>446</v>
      </c>
      <c r="E10" s="294"/>
      <c r="F10" s="294"/>
      <c r="G10" s="294"/>
      <c r="H10" s="128">
        <v>160</v>
      </c>
      <c r="I10" s="128">
        <v>160</v>
      </c>
      <c r="J10" s="128">
        <v>138.09700000000001</v>
      </c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5">
        <f t="shared" si="1"/>
        <v>160</v>
      </c>
      <c r="AJ10" s="295">
        <f t="shared" si="2"/>
        <v>160</v>
      </c>
      <c r="AK10" s="295">
        <f t="shared" si="3"/>
        <v>160</v>
      </c>
      <c r="AL10" s="295">
        <f t="shared" si="3"/>
        <v>138.09700000000001</v>
      </c>
      <c r="AM10" s="321">
        <f t="shared" si="4"/>
        <v>0.86310625000000007</v>
      </c>
    </row>
    <row r="11" spans="1:41" x14ac:dyDescent="0.25">
      <c r="A11" s="284">
        <v>10</v>
      </c>
      <c r="B11" s="284">
        <v>109</v>
      </c>
      <c r="C11" s="284" t="s">
        <v>207</v>
      </c>
      <c r="D11" s="293" t="s">
        <v>447</v>
      </c>
      <c r="E11" s="294"/>
      <c r="F11" s="294"/>
      <c r="G11" s="294"/>
      <c r="H11" s="128">
        <v>134</v>
      </c>
      <c r="I11" s="128">
        <v>134</v>
      </c>
      <c r="J11" s="128">
        <v>145.96700000000001</v>
      </c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5">
        <f t="shared" si="1"/>
        <v>134</v>
      </c>
      <c r="AJ11" s="295"/>
      <c r="AK11" s="295">
        <f t="shared" si="3"/>
        <v>134</v>
      </c>
      <c r="AL11" s="295">
        <f t="shared" si="3"/>
        <v>145.96700000000001</v>
      </c>
      <c r="AM11" s="321">
        <f t="shared" si="4"/>
        <v>1.0893059701492538</v>
      </c>
    </row>
    <row r="12" spans="1:41" x14ac:dyDescent="0.25">
      <c r="A12" s="284">
        <v>11</v>
      </c>
      <c r="B12" s="284">
        <v>113</v>
      </c>
      <c r="C12" s="284" t="s">
        <v>207</v>
      </c>
      <c r="D12" s="293" t="s">
        <v>212</v>
      </c>
      <c r="E12" s="294"/>
      <c r="F12" s="294"/>
      <c r="G12" s="294"/>
      <c r="H12" s="128">
        <v>5</v>
      </c>
      <c r="I12" s="128">
        <v>5</v>
      </c>
      <c r="J12" s="128">
        <v>1.4</v>
      </c>
      <c r="K12" s="294"/>
      <c r="L12" s="294"/>
      <c r="M12" s="294"/>
      <c r="N12" s="294"/>
      <c r="O12" s="294"/>
      <c r="P12" s="294"/>
      <c r="Q12" s="294"/>
      <c r="R12" s="294"/>
      <c r="S12" s="294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294"/>
      <c r="AG12" s="294"/>
      <c r="AH12" s="294"/>
      <c r="AI12" s="295">
        <f>E12+H12+K12+Q12+T12+W12+AF12</f>
        <v>5</v>
      </c>
      <c r="AJ12" s="295">
        <f t="shared" si="2"/>
        <v>5</v>
      </c>
      <c r="AK12" s="295">
        <f>F12+I12+L12+R12+U12+X12+AG12</f>
        <v>5</v>
      </c>
      <c r="AL12" s="295">
        <f>G12+J12+M12+S12+V12+Y12+AH12</f>
        <v>1.4</v>
      </c>
      <c r="AM12" s="321">
        <f t="shared" si="4"/>
        <v>0.27999999999999997</v>
      </c>
    </row>
    <row r="13" spans="1:41" x14ac:dyDescent="0.25">
      <c r="A13" s="284">
        <v>12</v>
      </c>
      <c r="B13" s="501" t="s">
        <v>375</v>
      </c>
      <c r="C13" s="284" t="s">
        <v>207</v>
      </c>
      <c r="D13" s="293" t="s">
        <v>214</v>
      </c>
      <c r="E13" s="294"/>
      <c r="F13" s="294"/>
      <c r="G13" s="294"/>
      <c r="H13" s="294"/>
      <c r="I13" s="294"/>
      <c r="J13" s="294"/>
      <c r="K13" s="298">
        <v>72684.600000000006</v>
      </c>
      <c r="L13" s="298">
        <v>72684.600000000006</v>
      </c>
      <c r="M13" s="298">
        <v>55328.171999999999</v>
      </c>
      <c r="N13" s="128"/>
      <c r="O13" s="128"/>
      <c r="P13" s="128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5">
        <f t="shared" si="1"/>
        <v>72684.600000000006</v>
      </c>
      <c r="AJ13" s="295">
        <f t="shared" si="2"/>
        <v>72684.600000000006</v>
      </c>
      <c r="AK13" s="295">
        <f t="shared" ref="AK13:AL62" si="5">F13+I13+L13+R13+U13+X13+AG13</f>
        <v>72684.600000000006</v>
      </c>
      <c r="AL13" s="295">
        <f t="shared" si="5"/>
        <v>55328.171999999999</v>
      </c>
      <c r="AM13" s="321">
        <f t="shared" si="4"/>
        <v>0.76120900438332184</v>
      </c>
    </row>
    <row r="14" spans="1:41" x14ac:dyDescent="0.25">
      <c r="A14" s="284">
        <v>13</v>
      </c>
      <c r="B14" s="501"/>
      <c r="C14" s="284" t="s">
        <v>207</v>
      </c>
      <c r="D14" s="293" t="s">
        <v>215</v>
      </c>
      <c r="E14" s="294"/>
      <c r="F14" s="294"/>
      <c r="G14" s="294"/>
      <c r="H14" s="294"/>
      <c r="I14" s="294"/>
      <c r="J14" s="294"/>
      <c r="K14" s="298">
        <v>7579.77</v>
      </c>
      <c r="L14" s="298">
        <v>7579.77</v>
      </c>
      <c r="M14" s="298">
        <v>5769.7209999999995</v>
      </c>
      <c r="N14" s="128"/>
      <c r="O14" s="128"/>
      <c r="P14" s="128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5">
        <f t="shared" si="1"/>
        <v>7579.77</v>
      </c>
      <c r="AJ14" s="295">
        <f t="shared" si="2"/>
        <v>7579.77</v>
      </c>
      <c r="AK14" s="295">
        <f t="shared" si="5"/>
        <v>7579.77</v>
      </c>
      <c r="AL14" s="295">
        <f t="shared" si="5"/>
        <v>5769.7209999999995</v>
      </c>
      <c r="AM14" s="321">
        <f t="shared" si="4"/>
        <v>0.76120001002668936</v>
      </c>
    </row>
    <row r="15" spans="1:41" x14ac:dyDescent="0.25">
      <c r="A15" s="284">
        <v>14</v>
      </c>
      <c r="B15" s="501"/>
      <c r="C15" s="284" t="s">
        <v>207</v>
      </c>
      <c r="D15" s="293" t="s">
        <v>216</v>
      </c>
      <c r="E15" s="294"/>
      <c r="F15" s="294"/>
      <c r="G15" s="294"/>
      <c r="H15" s="294"/>
      <c r="I15" s="294"/>
      <c r="J15" s="294"/>
      <c r="K15" s="298">
        <v>13728</v>
      </c>
      <c r="L15" s="298">
        <v>13728</v>
      </c>
      <c r="M15" s="298">
        <v>10449.754000000001</v>
      </c>
      <c r="N15" s="128"/>
      <c r="O15" s="128"/>
      <c r="P15" s="128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5">
        <f t="shared" si="1"/>
        <v>13728</v>
      </c>
      <c r="AJ15" s="295">
        <f t="shared" si="2"/>
        <v>13728</v>
      </c>
      <c r="AK15" s="295">
        <f t="shared" si="5"/>
        <v>13728</v>
      </c>
      <c r="AL15" s="295">
        <f t="shared" si="5"/>
        <v>10449.754000000001</v>
      </c>
      <c r="AM15" s="321">
        <f t="shared" si="4"/>
        <v>0.76120002913752915</v>
      </c>
    </row>
    <row r="16" spans="1:41" x14ac:dyDescent="0.25">
      <c r="A16" s="284">
        <v>15</v>
      </c>
      <c r="B16" s="501"/>
      <c r="C16" s="284" t="s">
        <v>207</v>
      </c>
      <c r="D16" s="293" t="s">
        <v>308</v>
      </c>
      <c r="E16" s="294"/>
      <c r="F16" s="294"/>
      <c r="G16" s="294"/>
      <c r="H16" s="294"/>
      <c r="I16" s="294"/>
      <c r="J16" s="294"/>
      <c r="K16" s="298">
        <v>0</v>
      </c>
      <c r="L16" s="298">
        <v>0</v>
      </c>
      <c r="M16" s="298">
        <f t="shared" ref="M16" si="6">L16*0.7612</f>
        <v>0</v>
      </c>
      <c r="N16" s="128"/>
      <c r="O16" s="128"/>
      <c r="P16" s="128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5">
        <f t="shared" si="1"/>
        <v>0</v>
      </c>
      <c r="AJ16" s="295">
        <f t="shared" si="2"/>
        <v>0</v>
      </c>
      <c r="AK16" s="295">
        <f t="shared" si="5"/>
        <v>0</v>
      </c>
      <c r="AL16" s="295">
        <f t="shared" si="5"/>
        <v>0</v>
      </c>
      <c r="AM16" s="321"/>
    </row>
    <row r="17" spans="1:39" x14ac:dyDescent="0.25">
      <c r="A17" s="284">
        <v>16</v>
      </c>
      <c r="B17" s="501"/>
      <c r="C17" s="284" t="s">
        <v>207</v>
      </c>
      <c r="D17" s="293" t="s">
        <v>217</v>
      </c>
      <c r="E17" s="294"/>
      <c r="F17" s="294"/>
      <c r="G17" s="294"/>
      <c r="H17" s="294"/>
      <c r="I17" s="294"/>
      <c r="J17" s="294"/>
      <c r="K17" s="298">
        <v>6117.65</v>
      </c>
      <c r="L17" s="298">
        <v>6117.65</v>
      </c>
      <c r="M17" s="298">
        <v>4656.7550000000001</v>
      </c>
      <c r="N17" s="128"/>
      <c r="O17" s="128"/>
      <c r="P17" s="128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5">
        <f t="shared" si="1"/>
        <v>6117.65</v>
      </c>
      <c r="AJ17" s="295">
        <f t="shared" si="2"/>
        <v>6117.65</v>
      </c>
      <c r="AK17" s="295">
        <f t="shared" si="5"/>
        <v>6117.65</v>
      </c>
      <c r="AL17" s="295">
        <f t="shared" si="5"/>
        <v>4656.7550000000001</v>
      </c>
      <c r="AM17" s="321">
        <f>AL17/AK17</f>
        <v>0.76119997057693733</v>
      </c>
    </row>
    <row r="18" spans="1:39" x14ac:dyDescent="0.25">
      <c r="A18" s="284">
        <v>17</v>
      </c>
      <c r="B18" s="501"/>
      <c r="C18" s="284" t="s">
        <v>207</v>
      </c>
      <c r="D18" s="293" t="s">
        <v>320</v>
      </c>
      <c r="E18" s="294"/>
      <c r="F18" s="294"/>
      <c r="G18" s="294"/>
      <c r="H18" s="294"/>
      <c r="I18" s="294"/>
      <c r="J18" s="294"/>
      <c r="K18" s="298">
        <v>641.41999999999996</v>
      </c>
      <c r="L18" s="298">
        <v>641.41999999999996</v>
      </c>
      <c r="M18" s="298">
        <v>488.24900000000002</v>
      </c>
      <c r="N18" s="128"/>
      <c r="O18" s="128"/>
      <c r="P18" s="128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5">
        <f t="shared" si="1"/>
        <v>641.41999999999996</v>
      </c>
      <c r="AJ18" s="295"/>
      <c r="AK18" s="295">
        <f t="shared" si="5"/>
        <v>641.41999999999996</v>
      </c>
      <c r="AL18" s="295">
        <f t="shared" si="5"/>
        <v>488.24900000000002</v>
      </c>
      <c r="AM18" s="321">
        <f t="shared" si="4"/>
        <v>0.76120014966792438</v>
      </c>
    </row>
    <row r="19" spans="1:39" x14ac:dyDescent="0.25">
      <c r="A19" s="284">
        <v>18</v>
      </c>
      <c r="B19" s="501"/>
      <c r="C19" s="284" t="s">
        <v>207</v>
      </c>
      <c r="D19" s="293" t="s">
        <v>321</v>
      </c>
      <c r="E19" s="294"/>
      <c r="F19" s="294"/>
      <c r="G19" s="294"/>
      <c r="H19" s="294"/>
      <c r="I19" s="294"/>
      <c r="J19" s="294"/>
      <c r="K19" s="298">
        <v>430.95</v>
      </c>
      <c r="L19" s="298">
        <v>430.95</v>
      </c>
      <c r="M19" s="298">
        <v>328.03899999999999</v>
      </c>
      <c r="N19" s="128"/>
      <c r="O19" s="128"/>
      <c r="P19" s="128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5">
        <f t="shared" si="1"/>
        <v>430.95</v>
      </c>
      <c r="AJ19" s="295"/>
      <c r="AK19" s="295">
        <f t="shared" si="5"/>
        <v>430.95</v>
      </c>
      <c r="AL19" s="295">
        <f t="shared" si="5"/>
        <v>328.03899999999999</v>
      </c>
      <c r="AM19" s="321">
        <f t="shared" si="4"/>
        <v>0.76119967513632669</v>
      </c>
    </row>
    <row r="20" spans="1:39" x14ac:dyDescent="0.25">
      <c r="A20" s="284">
        <v>19</v>
      </c>
      <c r="B20" s="501"/>
      <c r="C20" s="284" t="s">
        <v>207</v>
      </c>
      <c r="D20" s="293" t="s">
        <v>219</v>
      </c>
      <c r="E20" s="294"/>
      <c r="F20" s="294"/>
      <c r="G20" s="294"/>
      <c r="H20" s="294"/>
      <c r="I20" s="294"/>
      <c r="J20" s="294"/>
      <c r="K20" s="298">
        <v>3.6</v>
      </c>
      <c r="L20" s="298">
        <v>3.6</v>
      </c>
      <c r="M20" s="298">
        <v>2.74</v>
      </c>
      <c r="N20" s="128"/>
      <c r="O20" s="128"/>
      <c r="P20" s="128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5">
        <f t="shared" si="1"/>
        <v>3.6</v>
      </c>
      <c r="AJ20" s="295"/>
      <c r="AK20" s="295">
        <f t="shared" si="5"/>
        <v>3.6</v>
      </c>
      <c r="AL20" s="295">
        <f t="shared" si="5"/>
        <v>2.74</v>
      </c>
      <c r="AM20" s="321">
        <f t="shared" si="4"/>
        <v>0.76111111111111118</v>
      </c>
    </row>
    <row r="21" spans="1:39" x14ac:dyDescent="0.25">
      <c r="A21" s="284">
        <v>20</v>
      </c>
      <c r="B21" s="501"/>
      <c r="C21" s="284" t="s">
        <v>207</v>
      </c>
      <c r="D21" s="293" t="s">
        <v>218</v>
      </c>
      <c r="E21" s="294"/>
      <c r="F21" s="294"/>
      <c r="G21" s="294"/>
      <c r="H21" s="294"/>
      <c r="I21" s="294"/>
      <c r="J21" s="294"/>
      <c r="K21" s="298">
        <v>12.1</v>
      </c>
      <c r="L21" s="298">
        <v>12.1</v>
      </c>
      <c r="M21" s="298">
        <v>9.2110000000000003</v>
      </c>
      <c r="N21" s="128"/>
      <c r="O21" s="128"/>
      <c r="P21" s="128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5">
        <f t="shared" si="1"/>
        <v>12.1</v>
      </c>
      <c r="AJ21" s="295">
        <f t="shared" si="2"/>
        <v>12.1</v>
      </c>
      <c r="AK21" s="295">
        <f t="shared" si="5"/>
        <v>12.1</v>
      </c>
      <c r="AL21" s="295">
        <f t="shared" si="5"/>
        <v>9.2110000000000003</v>
      </c>
      <c r="AM21" s="321">
        <f t="shared" si="4"/>
        <v>0.76123966942148769</v>
      </c>
    </row>
    <row r="22" spans="1:39" x14ac:dyDescent="0.25">
      <c r="A22" s="284">
        <v>21</v>
      </c>
      <c r="B22" s="501"/>
      <c r="C22" s="284" t="s">
        <v>207</v>
      </c>
      <c r="D22" s="293" t="s">
        <v>434</v>
      </c>
      <c r="E22" s="294"/>
      <c r="F22" s="294"/>
      <c r="G22" s="294"/>
      <c r="H22" s="294"/>
      <c r="I22" s="294"/>
      <c r="J22" s="294"/>
      <c r="K22" s="298">
        <v>1041</v>
      </c>
      <c r="L22" s="298">
        <v>1041</v>
      </c>
      <c r="M22" s="298">
        <v>792.40899999999999</v>
      </c>
      <c r="N22" s="128"/>
      <c r="O22" s="128"/>
      <c r="P22" s="128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5">
        <f t="shared" si="1"/>
        <v>1041</v>
      </c>
      <c r="AJ22" s="295">
        <f t="shared" si="2"/>
        <v>1041</v>
      </c>
      <c r="AK22" s="295">
        <f t="shared" si="5"/>
        <v>1041</v>
      </c>
      <c r="AL22" s="295">
        <f t="shared" si="5"/>
        <v>792.40899999999999</v>
      </c>
      <c r="AM22" s="321">
        <f t="shared" si="4"/>
        <v>0.76119980787704133</v>
      </c>
    </row>
    <row r="23" spans="1:39" x14ac:dyDescent="0.25">
      <c r="A23" s="284">
        <v>22</v>
      </c>
      <c r="B23" s="501"/>
      <c r="C23" s="284" t="s">
        <v>207</v>
      </c>
      <c r="D23" s="293" t="s">
        <v>322</v>
      </c>
      <c r="E23" s="294"/>
      <c r="F23" s="294"/>
      <c r="G23" s="294"/>
      <c r="H23" s="294"/>
      <c r="I23" s="294"/>
      <c r="J23" s="294"/>
      <c r="K23" s="299">
        <v>62709.3</v>
      </c>
      <c r="L23" s="299">
        <v>62709.3</v>
      </c>
      <c r="M23" s="299">
        <v>48202.078999999998</v>
      </c>
      <c r="N23" s="128"/>
      <c r="O23" s="128"/>
      <c r="P23" s="128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5">
        <f t="shared" si="1"/>
        <v>62709.3</v>
      </c>
      <c r="AJ23" s="295">
        <f t="shared" si="2"/>
        <v>62709.3</v>
      </c>
      <c r="AK23" s="295">
        <f t="shared" si="5"/>
        <v>62709.3</v>
      </c>
      <c r="AL23" s="295">
        <f t="shared" si="5"/>
        <v>48202.078999999998</v>
      </c>
      <c r="AM23" s="321">
        <f t="shared" si="4"/>
        <v>0.76865917814423057</v>
      </c>
    </row>
    <row r="24" spans="1:39" x14ac:dyDescent="0.25">
      <c r="A24" s="284">
        <v>23</v>
      </c>
      <c r="B24" s="501"/>
      <c r="C24" s="284" t="s">
        <v>207</v>
      </c>
      <c r="D24" s="293" t="s">
        <v>220</v>
      </c>
      <c r="E24" s="294"/>
      <c r="F24" s="294"/>
      <c r="G24" s="294"/>
      <c r="H24" s="294"/>
      <c r="I24" s="294"/>
      <c r="J24" s="294"/>
      <c r="K24" s="299">
        <v>8442.3340000000007</v>
      </c>
      <c r="L24" s="299">
        <v>8442.3340000000007</v>
      </c>
      <c r="M24" s="299">
        <v>6489.6220000000003</v>
      </c>
      <c r="N24" s="128"/>
      <c r="O24" s="128"/>
      <c r="P24" s="128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5">
        <f t="shared" si="1"/>
        <v>8442.3340000000007</v>
      </c>
      <c r="AJ24" s="295">
        <f t="shared" si="2"/>
        <v>8442.3340000000007</v>
      </c>
      <c r="AK24" s="295">
        <f t="shared" si="5"/>
        <v>8442.3340000000007</v>
      </c>
      <c r="AL24" s="295">
        <f t="shared" si="5"/>
        <v>6489.6220000000003</v>
      </c>
      <c r="AM24" s="321">
        <f t="shared" si="4"/>
        <v>0.76869998272989437</v>
      </c>
    </row>
    <row r="25" spans="1:39" x14ac:dyDescent="0.25">
      <c r="A25" s="284">
        <v>24</v>
      </c>
      <c r="B25" s="501"/>
      <c r="C25" s="284" t="s">
        <v>207</v>
      </c>
      <c r="D25" s="293" t="s">
        <v>302</v>
      </c>
      <c r="E25" s="294"/>
      <c r="F25" s="294"/>
      <c r="G25" s="294"/>
      <c r="H25" s="294"/>
      <c r="I25" s="294"/>
      <c r="J25" s="294"/>
      <c r="K25" s="299">
        <v>1169.5840000000001</v>
      </c>
      <c r="L25" s="299">
        <v>1169.5840000000001</v>
      </c>
      <c r="M25" s="299">
        <v>899.05899999999997</v>
      </c>
      <c r="N25" s="128"/>
      <c r="O25" s="128"/>
      <c r="P25" s="128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5">
        <f t="shared" si="1"/>
        <v>1169.5840000000001</v>
      </c>
      <c r="AJ25" s="295">
        <f t="shared" si="2"/>
        <v>1169.5840000000001</v>
      </c>
      <c r="AK25" s="295">
        <f t="shared" si="5"/>
        <v>1169.5840000000001</v>
      </c>
      <c r="AL25" s="295">
        <f t="shared" si="5"/>
        <v>899.05899999999997</v>
      </c>
      <c r="AM25" s="321">
        <f t="shared" si="4"/>
        <v>0.76869981121492759</v>
      </c>
    </row>
    <row r="26" spans="1:39" x14ac:dyDescent="0.25">
      <c r="A26" s="284">
        <v>25</v>
      </c>
      <c r="B26" s="501"/>
      <c r="C26" s="284" t="s">
        <v>207</v>
      </c>
      <c r="D26" s="300" t="s">
        <v>221</v>
      </c>
      <c r="E26" s="294"/>
      <c r="F26" s="294"/>
      <c r="G26" s="294"/>
      <c r="H26" s="294"/>
      <c r="I26" s="294"/>
      <c r="J26" s="294"/>
      <c r="K26" s="129">
        <v>33238</v>
      </c>
      <c r="L26" s="129">
        <v>33238</v>
      </c>
      <c r="M26" s="129">
        <v>24931.824000000001</v>
      </c>
      <c r="N26" s="128"/>
      <c r="O26" s="128"/>
      <c r="P26" s="128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5">
        <f>E26+H26+K26+Q26+T26+W26+AF26</f>
        <v>33238</v>
      </c>
      <c r="AJ26" s="295">
        <f t="shared" si="2"/>
        <v>33238</v>
      </c>
      <c r="AK26" s="295">
        <f t="shared" si="5"/>
        <v>33238</v>
      </c>
      <c r="AL26" s="295">
        <f t="shared" si="5"/>
        <v>24931.824000000001</v>
      </c>
      <c r="AM26" s="321">
        <f t="shared" si="4"/>
        <v>0.75010000601720928</v>
      </c>
    </row>
    <row r="27" spans="1:39" x14ac:dyDescent="0.25">
      <c r="A27" s="284">
        <v>26</v>
      </c>
      <c r="B27" s="501"/>
      <c r="C27" s="284" t="s">
        <v>207</v>
      </c>
      <c r="D27" s="293" t="s">
        <v>223</v>
      </c>
      <c r="E27" s="294"/>
      <c r="F27" s="294"/>
      <c r="G27" s="294"/>
      <c r="H27" s="294"/>
      <c r="I27" s="294"/>
      <c r="J27" s="294"/>
      <c r="K27" s="129">
        <v>14138.16</v>
      </c>
      <c r="L27" s="129">
        <v>14138.16</v>
      </c>
      <c r="M27" s="129">
        <v>10605.034</v>
      </c>
      <c r="N27" s="128"/>
      <c r="O27" s="128"/>
      <c r="P27" s="128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5">
        <f>E27+H27+K27+Q27+T27+W27+AF27</f>
        <v>14138.16</v>
      </c>
      <c r="AJ27" s="295"/>
      <c r="AK27" s="295">
        <f t="shared" si="5"/>
        <v>14138.16</v>
      </c>
      <c r="AL27" s="295">
        <f t="shared" si="5"/>
        <v>10605.034</v>
      </c>
      <c r="AM27" s="321">
        <f t="shared" si="4"/>
        <v>0.75010001301442331</v>
      </c>
    </row>
    <row r="28" spans="1:39" x14ac:dyDescent="0.25">
      <c r="A28" s="284">
        <v>27</v>
      </c>
      <c r="B28" s="501"/>
      <c r="C28" s="284" t="s">
        <v>213</v>
      </c>
      <c r="D28" s="293" t="s">
        <v>224</v>
      </c>
      <c r="E28" s="294"/>
      <c r="F28" s="294"/>
      <c r="G28" s="294"/>
      <c r="H28" s="294"/>
      <c r="I28" s="294"/>
      <c r="J28" s="294"/>
      <c r="K28" s="129">
        <v>34830</v>
      </c>
      <c r="L28" s="129">
        <v>34830</v>
      </c>
      <c r="M28" s="129">
        <v>26125.983</v>
      </c>
      <c r="N28" s="128"/>
      <c r="O28" s="128"/>
      <c r="P28" s="128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5">
        <f>E28+H28+K28+Q28+T28+W28+AF28</f>
        <v>34830</v>
      </c>
      <c r="AJ28" s="295"/>
      <c r="AK28" s="295">
        <f t="shared" si="5"/>
        <v>34830</v>
      </c>
      <c r="AL28" s="295">
        <f t="shared" si="5"/>
        <v>26125.983</v>
      </c>
      <c r="AM28" s="321">
        <f t="shared" si="4"/>
        <v>0.75009999999999999</v>
      </c>
    </row>
    <row r="29" spans="1:39" x14ac:dyDescent="0.25">
      <c r="A29" s="284">
        <v>28</v>
      </c>
      <c r="B29" s="501"/>
      <c r="C29" s="284" t="s">
        <v>207</v>
      </c>
      <c r="D29" s="293" t="s">
        <v>222</v>
      </c>
      <c r="E29" s="294"/>
      <c r="F29" s="294"/>
      <c r="G29" s="294"/>
      <c r="H29" s="294"/>
      <c r="I29" s="294"/>
      <c r="J29" s="294"/>
      <c r="K29" s="129">
        <v>37364.481</v>
      </c>
      <c r="L29" s="129">
        <v>37364.481</v>
      </c>
      <c r="M29" s="129">
        <v>28025.725999999999</v>
      </c>
      <c r="N29" s="128"/>
      <c r="O29" s="128"/>
      <c r="P29" s="128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5">
        <f t="shared" si="1"/>
        <v>37364.481</v>
      </c>
      <c r="AJ29" s="295">
        <f t="shared" si="2"/>
        <v>37364.481</v>
      </c>
      <c r="AK29" s="295">
        <f t="shared" si="5"/>
        <v>37364.481</v>
      </c>
      <c r="AL29" s="295">
        <f t="shared" si="5"/>
        <v>28025.725999999999</v>
      </c>
      <c r="AM29" s="321">
        <f t="shared" si="4"/>
        <v>0.75006330209698346</v>
      </c>
    </row>
    <row r="30" spans="1:39" x14ac:dyDescent="0.25">
      <c r="A30" s="284">
        <v>29</v>
      </c>
      <c r="B30" s="501"/>
      <c r="C30" s="284" t="s">
        <v>207</v>
      </c>
      <c r="D30" s="282" t="s">
        <v>435</v>
      </c>
      <c r="E30" s="294"/>
      <c r="F30" s="294"/>
      <c r="G30" s="294"/>
      <c r="H30" s="294"/>
      <c r="I30" s="294"/>
      <c r="J30" s="294"/>
      <c r="K30" s="129">
        <v>625.86</v>
      </c>
      <c r="L30" s="129">
        <v>625.86</v>
      </c>
      <c r="M30" s="129">
        <v>469.45800000000003</v>
      </c>
      <c r="N30" s="128"/>
      <c r="O30" s="128"/>
      <c r="P30" s="128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5">
        <f t="shared" si="1"/>
        <v>625.86</v>
      </c>
      <c r="AJ30" s="295">
        <f t="shared" si="2"/>
        <v>625.86</v>
      </c>
      <c r="AK30" s="295">
        <f t="shared" si="5"/>
        <v>625.86</v>
      </c>
      <c r="AL30" s="295">
        <f t="shared" si="5"/>
        <v>469.45800000000003</v>
      </c>
      <c r="AM30" s="321">
        <f t="shared" si="4"/>
        <v>0.75010066148979004</v>
      </c>
    </row>
    <row r="31" spans="1:39" x14ac:dyDescent="0.25">
      <c r="A31" s="284">
        <v>30</v>
      </c>
      <c r="B31" s="501">
        <v>130</v>
      </c>
      <c r="C31" s="284" t="s">
        <v>207</v>
      </c>
      <c r="D31" s="293" t="s">
        <v>225</v>
      </c>
      <c r="E31" s="294"/>
      <c r="F31" s="294"/>
      <c r="G31" s="294"/>
      <c r="H31" s="294"/>
      <c r="I31" s="294"/>
      <c r="J31" s="294"/>
      <c r="K31" s="301">
        <v>4400.7700000000004</v>
      </c>
      <c r="L31" s="301">
        <v>4400.7700000000004</v>
      </c>
      <c r="M31" s="301">
        <v>3375.2550000000001</v>
      </c>
      <c r="N31" s="128"/>
      <c r="O31" s="128"/>
      <c r="P31" s="128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5">
        <f t="shared" si="1"/>
        <v>4400.7700000000004</v>
      </c>
      <c r="AJ31" s="295">
        <f t="shared" si="2"/>
        <v>4400.7700000000004</v>
      </c>
      <c r="AK31" s="295">
        <f t="shared" si="5"/>
        <v>4400.7700000000004</v>
      </c>
      <c r="AL31" s="295">
        <f t="shared" si="5"/>
        <v>3375.2550000000001</v>
      </c>
      <c r="AM31" s="321">
        <f t="shared" si="4"/>
        <v>0.76696918948274961</v>
      </c>
    </row>
    <row r="32" spans="1:39" x14ac:dyDescent="0.25">
      <c r="A32" s="284">
        <v>31</v>
      </c>
      <c r="B32" s="284">
        <v>134</v>
      </c>
      <c r="C32" s="284" t="s">
        <v>207</v>
      </c>
      <c r="D32" s="293" t="s">
        <v>226</v>
      </c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128">
        <v>86294</v>
      </c>
      <c r="R32" s="128">
        <v>86294</v>
      </c>
      <c r="S32" s="128">
        <v>71917.004000000001</v>
      </c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5">
        <f t="shared" si="1"/>
        <v>86294</v>
      </c>
      <c r="AJ32" s="295">
        <f t="shared" si="2"/>
        <v>86294</v>
      </c>
      <c r="AK32" s="295">
        <f t="shared" si="5"/>
        <v>86294</v>
      </c>
      <c r="AL32" s="295">
        <f t="shared" si="5"/>
        <v>71917.004000000001</v>
      </c>
      <c r="AM32" s="321">
        <f t="shared" si="4"/>
        <v>0.83339518390618117</v>
      </c>
    </row>
    <row r="33" spans="1:39" x14ac:dyDescent="0.25">
      <c r="A33" s="284">
        <v>32</v>
      </c>
      <c r="B33" s="284">
        <v>135</v>
      </c>
      <c r="C33" s="284" t="s">
        <v>207</v>
      </c>
      <c r="D33" s="293" t="s">
        <v>227</v>
      </c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128">
        <v>17204</v>
      </c>
      <c r="R33" s="128">
        <v>17204</v>
      </c>
      <c r="S33" s="128">
        <v>3389.4180000000001</v>
      </c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5">
        <f t="shared" si="1"/>
        <v>17204</v>
      </c>
      <c r="AJ33" s="295">
        <f t="shared" si="2"/>
        <v>17204</v>
      </c>
      <c r="AK33" s="295">
        <f t="shared" si="5"/>
        <v>17204</v>
      </c>
      <c r="AL33" s="295">
        <f t="shared" si="5"/>
        <v>3389.4180000000001</v>
      </c>
      <c r="AM33" s="321">
        <f t="shared" si="4"/>
        <v>0.19701336898395722</v>
      </c>
    </row>
    <row r="34" spans="1:39" x14ac:dyDescent="0.25">
      <c r="A34" s="284">
        <v>33</v>
      </c>
      <c r="B34" s="284">
        <v>137</v>
      </c>
      <c r="C34" s="284" t="s">
        <v>207</v>
      </c>
      <c r="D34" s="293" t="s">
        <v>228</v>
      </c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128">
        <v>7875</v>
      </c>
      <c r="R34" s="128">
        <v>7875</v>
      </c>
      <c r="S34" s="128">
        <v>6484.2</v>
      </c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5">
        <f t="shared" si="1"/>
        <v>7875</v>
      </c>
      <c r="AJ34" s="295">
        <f t="shared" si="2"/>
        <v>7875</v>
      </c>
      <c r="AK34" s="295">
        <f t="shared" si="5"/>
        <v>7875</v>
      </c>
      <c r="AL34" s="295">
        <f t="shared" si="5"/>
        <v>6484.2</v>
      </c>
      <c r="AM34" s="321">
        <f t="shared" si="4"/>
        <v>0.82339047619047612</v>
      </c>
    </row>
    <row r="35" spans="1:39" x14ac:dyDescent="0.25">
      <c r="A35" s="284">
        <v>34</v>
      </c>
      <c r="B35" s="284">
        <v>138</v>
      </c>
      <c r="C35" s="284" t="s">
        <v>207</v>
      </c>
      <c r="D35" s="293" t="s">
        <v>229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128">
        <v>2000</v>
      </c>
      <c r="R35" s="128">
        <v>2000</v>
      </c>
      <c r="S35" s="128">
        <v>1389.0740000000001</v>
      </c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5">
        <f t="shared" si="1"/>
        <v>2000</v>
      </c>
      <c r="AJ35" s="295">
        <f t="shared" si="2"/>
        <v>2000</v>
      </c>
      <c r="AK35" s="295">
        <f t="shared" si="5"/>
        <v>2000</v>
      </c>
      <c r="AL35" s="295">
        <f t="shared" si="5"/>
        <v>1389.0740000000001</v>
      </c>
      <c r="AM35" s="321">
        <f t="shared" si="4"/>
        <v>0.69453700000000007</v>
      </c>
    </row>
    <row r="36" spans="1:39" x14ac:dyDescent="0.25">
      <c r="A36" s="284">
        <v>35</v>
      </c>
      <c r="B36" s="284">
        <v>139</v>
      </c>
      <c r="C36" s="284" t="s">
        <v>213</v>
      </c>
      <c r="D36" s="293" t="s">
        <v>230</v>
      </c>
      <c r="E36" s="294"/>
      <c r="F36" s="294"/>
      <c r="G36" s="294">
        <v>750.56</v>
      </c>
      <c r="H36" s="294"/>
      <c r="I36" s="294"/>
      <c r="J36" s="294"/>
      <c r="K36" s="294"/>
      <c r="L36" s="294"/>
      <c r="M36" s="294"/>
      <c r="N36" s="294"/>
      <c r="O36" s="294"/>
      <c r="P36" s="294"/>
      <c r="Q36" s="128">
        <v>2562</v>
      </c>
      <c r="R36" s="128">
        <v>2562</v>
      </c>
      <c r="S36" s="128">
        <v>856.14200000000005</v>
      </c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5">
        <f t="shared" si="1"/>
        <v>2562</v>
      </c>
      <c r="AJ36" s="295">
        <f t="shared" si="2"/>
        <v>2562</v>
      </c>
      <c r="AK36" s="295">
        <f t="shared" si="5"/>
        <v>2562</v>
      </c>
      <c r="AL36" s="295">
        <f t="shared" si="5"/>
        <v>1606.702</v>
      </c>
      <c r="AM36" s="321">
        <f t="shared" si="4"/>
        <v>0.62712802498048403</v>
      </c>
    </row>
    <row r="37" spans="1:39" x14ac:dyDescent="0.25">
      <c r="A37" s="284">
        <v>36</v>
      </c>
      <c r="B37" s="284">
        <v>140</v>
      </c>
      <c r="C37" s="284" t="s">
        <v>207</v>
      </c>
      <c r="D37" s="293" t="s">
        <v>231</v>
      </c>
      <c r="E37" s="128">
        <v>16000</v>
      </c>
      <c r="F37" s="128">
        <v>16000</v>
      </c>
      <c r="G37" s="128">
        <v>18051.988000000001</v>
      </c>
      <c r="H37" s="294"/>
      <c r="I37" s="294"/>
      <c r="J37" s="294"/>
      <c r="K37" s="294"/>
      <c r="L37" s="294"/>
      <c r="M37" s="294"/>
      <c r="N37" s="294"/>
      <c r="O37" s="294"/>
      <c r="P37" s="294"/>
      <c r="Q37" s="294">
        <v>1000</v>
      </c>
      <c r="R37" s="294">
        <v>1000</v>
      </c>
      <c r="S37" s="294">
        <v>1788.2729999999999</v>
      </c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5">
        <f t="shared" si="1"/>
        <v>17000</v>
      </c>
      <c r="AJ37" s="295">
        <f t="shared" si="2"/>
        <v>17000</v>
      </c>
      <c r="AK37" s="295">
        <f>F37+I37+L37+R37+U37+X37+AD37+O37</f>
        <v>17000</v>
      </c>
      <c r="AL37" s="295">
        <f>G37+J37+M37+S37+V37+Y37+AH37+AE37</f>
        <v>19840.261000000002</v>
      </c>
      <c r="AM37" s="321">
        <f t="shared" si="4"/>
        <v>1.1670741764705883</v>
      </c>
    </row>
    <row r="38" spans="1:39" x14ac:dyDescent="0.25">
      <c r="A38" s="284">
        <v>37</v>
      </c>
      <c r="B38" s="284">
        <v>141</v>
      </c>
      <c r="C38" s="284" t="s">
        <v>213</v>
      </c>
      <c r="D38" s="293" t="s">
        <v>232</v>
      </c>
      <c r="E38" s="128">
        <v>2500</v>
      </c>
      <c r="F38" s="128">
        <v>2500</v>
      </c>
      <c r="G38" s="128">
        <v>1163.0039999999999</v>
      </c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5">
        <f t="shared" si="1"/>
        <v>2500</v>
      </c>
      <c r="AJ38" s="295">
        <f t="shared" si="2"/>
        <v>2500</v>
      </c>
      <c r="AK38" s="295">
        <f t="shared" ref="AK38:AK39" si="7">F38+I38+L38+R38+U38+X38+AD38+O38</f>
        <v>2500</v>
      </c>
      <c r="AL38" s="295">
        <f>G38+J38+M38+S38+V38+Y38+AH38+AE38</f>
        <v>1163.0039999999999</v>
      </c>
      <c r="AM38" s="321">
        <f t="shared" si="4"/>
        <v>0.46520159999999994</v>
      </c>
    </row>
    <row r="39" spans="1:39" x14ac:dyDescent="0.25">
      <c r="A39" s="284">
        <v>38</v>
      </c>
      <c r="B39" s="284">
        <v>142</v>
      </c>
      <c r="C39" s="284" t="s">
        <v>213</v>
      </c>
      <c r="D39" s="293" t="s">
        <v>436</v>
      </c>
      <c r="E39" s="128"/>
      <c r="F39" s="128"/>
      <c r="G39" s="128"/>
      <c r="H39" s="294"/>
      <c r="I39" s="294"/>
      <c r="J39" s="294"/>
      <c r="K39" s="294"/>
      <c r="L39" s="294"/>
      <c r="M39" s="294"/>
      <c r="N39" s="294">
        <v>15000</v>
      </c>
      <c r="O39" s="294">
        <v>15000</v>
      </c>
      <c r="P39" s="294">
        <v>15000</v>
      </c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5">
        <f>E39+H39+K39+Q39+T39+W39+AF39+N39</f>
        <v>15000</v>
      </c>
      <c r="AJ39" s="295">
        <f t="shared" ref="AJ39" si="8">F39+I39+L39+R39+U39+X39+AG39+O39</f>
        <v>15000</v>
      </c>
      <c r="AK39" s="295">
        <f t="shared" si="7"/>
        <v>15000</v>
      </c>
      <c r="AL39" s="295">
        <f>G39+J39+M39+S39+V39+Y39+AH39+P39</f>
        <v>15000</v>
      </c>
      <c r="AM39" s="321">
        <f t="shared" si="4"/>
        <v>1</v>
      </c>
    </row>
    <row r="40" spans="1:39" x14ac:dyDescent="0.25">
      <c r="A40" s="284">
        <v>39</v>
      </c>
      <c r="B40" s="284">
        <v>124</v>
      </c>
      <c r="C40" s="284" t="s">
        <v>207</v>
      </c>
      <c r="D40" s="293" t="s">
        <v>330</v>
      </c>
      <c r="E40" s="128"/>
      <c r="F40" s="128"/>
      <c r="G40" s="128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>
        <v>22555.454000000002</v>
      </c>
      <c r="AG40" s="294">
        <v>27832.904999999999</v>
      </c>
      <c r="AH40" s="294">
        <v>27832.904999999999</v>
      </c>
      <c r="AI40" s="295">
        <f t="shared" si="1"/>
        <v>22555.454000000002</v>
      </c>
      <c r="AJ40" s="295">
        <f t="shared" si="2"/>
        <v>27832.904999999999</v>
      </c>
      <c r="AK40" s="295">
        <f t="shared" si="5"/>
        <v>27832.904999999999</v>
      </c>
      <c r="AL40" s="295">
        <f t="shared" si="5"/>
        <v>27832.904999999999</v>
      </c>
      <c r="AM40" s="321">
        <f t="shared" si="4"/>
        <v>1</v>
      </c>
    </row>
    <row r="41" spans="1:39" x14ac:dyDescent="0.25">
      <c r="A41" s="284">
        <v>40</v>
      </c>
      <c r="B41" s="284">
        <v>124</v>
      </c>
      <c r="C41" s="284" t="s">
        <v>213</v>
      </c>
      <c r="D41" s="293" t="s">
        <v>330</v>
      </c>
      <c r="E41" s="128"/>
      <c r="F41" s="128"/>
      <c r="G41" s="128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>
        <v>63246.546000000002</v>
      </c>
      <c r="AG41" s="294">
        <v>63746.434999999998</v>
      </c>
      <c r="AH41" s="294">
        <v>63746.434999999998</v>
      </c>
      <c r="AI41" s="295">
        <f t="shared" si="1"/>
        <v>63246.546000000002</v>
      </c>
      <c r="AJ41" s="295">
        <f t="shared" si="2"/>
        <v>63746.434999999998</v>
      </c>
      <c r="AK41" s="295">
        <f t="shared" si="5"/>
        <v>63746.434999999998</v>
      </c>
      <c r="AL41" s="295">
        <f t="shared" si="5"/>
        <v>63746.434999999998</v>
      </c>
      <c r="AM41" s="321">
        <f t="shared" si="4"/>
        <v>1</v>
      </c>
    </row>
    <row r="42" spans="1:39" x14ac:dyDescent="0.25">
      <c r="A42" s="284">
        <v>41</v>
      </c>
      <c r="B42" s="284">
        <v>160</v>
      </c>
      <c r="C42" s="284" t="s">
        <v>213</v>
      </c>
      <c r="D42" s="293" t="s">
        <v>437</v>
      </c>
      <c r="E42" s="128"/>
      <c r="F42" s="128"/>
      <c r="G42" s="128"/>
      <c r="H42" s="294"/>
      <c r="I42" s="294"/>
      <c r="J42" s="294"/>
      <c r="K42" s="294"/>
      <c r="L42" s="294"/>
      <c r="M42" s="294"/>
      <c r="N42" s="294"/>
      <c r="O42" s="294"/>
      <c r="P42" s="294"/>
      <c r="Q42" s="294">
        <v>1767</v>
      </c>
      <c r="R42" s="294">
        <v>1767</v>
      </c>
      <c r="S42" s="294">
        <v>1767</v>
      </c>
      <c r="T42" s="294">
        <v>104426</v>
      </c>
      <c r="U42" s="294">
        <v>94646.054999999993</v>
      </c>
      <c r="V42" s="294">
        <v>46439.527000000002</v>
      </c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5">
        <f t="shared" si="1"/>
        <v>106193</v>
      </c>
      <c r="AJ42" s="295">
        <f t="shared" si="2"/>
        <v>96413.054999999993</v>
      </c>
      <c r="AK42" s="295">
        <f t="shared" si="5"/>
        <v>96413.054999999993</v>
      </c>
      <c r="AL42" s="295">
        <f t="shared" si="5"/>
        <v>48206.527000000002</v>
      </c>
      <c r="AM42" s="321">
        <f t="shared" si="4"/>
        <v>0.49999999481398039</v>
      </c>
    </row>
    <row r="43" spans="1:39" x14ac:dyDescent="0.25">
      <c r="A43" s="284">
        <v>42</v>
      </c>
      <c r="B43" s="284">
        <v>159</v>
      </c>
      <c r="C43" s="284" t="s">
        <v>213</v>
      </c>
      <c r="D43" s="293" t="s">
        <v>438</v>
      </c>
      <c r="E43" s="128"/>
      <c r="F43" s="128"/>
      <c r="G43" s="128"/>
      <c r="H43" s="294"/>
      <c r="I43" s="294"/>
      <c r="J43" s="294"/>
      <c r="K43" s="294"/>
      <c r="L43" s="294"/>
      <c r="M43" s="294"/>
      <c r="N43" s="294"/>
      <c r="O43" s="294"/>
      <c r="P43" s="294"/>
      <c r="Q43" s="294">
        <v>685</v>
      </c>
      <c r="R43" s="294">
        <v>685</v>
      </c>
      <c r="S43" s="294"/>
      <c r="T43" s="294">
        <v>44082</v>
      </c>
      <c r="U43" s="294">
        <v>44082</v>
      </c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5">
        <f t="shared" si="1"/>
        <v>44767</v>
      </c>
      <c r="AJ43" s="295"/>
      <c r="AK43" s="295">
        <f t="shared" si="5"/>
        <v>44767</v>
      </c>
      <c r="AL43" s="295">
        <f t="shared" si="5"/>
        <v>0</v>
      </c>
      <c r="AM43" s="321">
        <f t="shared" si="4"/>
        <v>0</v>
      </c>
    </row>
    <row r="44" spans="1:39" x14ac:dyDescent="0.25">
      <c r="A44" s="284">
        <v>43</v>
      </c>
      <c r="B44" s="284">
        <v>145</v>
      </c>
      <c r="C44" s="284" t="s">
        <v>213</v>
      </c>
      <c r="D44" s="77" t="s">
        <v>336</v>
      </c>
      <c r="E44" s="128"/>
      <c r="F44" s="128"/>
      <c r="G44" s="128">
        <v>2.7E-2</v>
      </c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>
        <v>40964.417000000001</v>
      </c>
      <c r="AG44" s="294">
        <v>40964.417000000001</v>
      </c>
      <c r="AH44" s="294">
        <v>40964.417000000001</v>
      </c>
      <c r="AI44" s="295">
        <f t="shared" si="1"/>
        <v>40964.417000000001</v>
      </c>
      <c r="AJ44" s="295">
        <f t="shared" si="2"/>
        <v>40964.417000000001</v>
      </c>
      <c r="AK44" s="295">
        <f t="shared" si="5"/>
        <v>40964.417000000001</v>
      </c>
      <c r="AL44" s="295">
        <f t="shared" si="5"/>
        <v>40964.444000000003</v>
      </c>
      <c r="AM44" s="321">
        <f t="shared" si="4"/>
        <v>1.0000006591086112</v>
      </c>
    </row>
    <row r="45" spans="1:39" x14ac:dyDescent="0.25">
      <c r="A45" s="284">
        <v>44</v>
      </c>
      <c r="B45" s="284">
        <v>146</v>
      </c>
      <c r="C45" s="284" t="s">
        <v>213</v>
      </c>
      <c r="D45" s="77" t="s">
        <v>337</v>
      </c>
      <c r="E45" s="128"/>
      <c r="F45" s="128"/>
      <c r="G45" s="128">
        <v>0.155</v>
      </c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>
        <v>208214.476</v>
      </c>
      <c r="AG45" s="294">
        <v>208214.476</v>
      </c>
      <c r="AH45" s="294">
        <v>208214.476</v>
      </c>
      <c r="AI45" s="295">
        <f t="shared" si="1"/>
        <v>208214.476</v>
      </c>
      <c r="AJ45" s="295">
        <f t="shared" si="2"/>
        <v>208214.476</v>
      </c>
      <c r="AK45" s="295">
        <f t="shared" si="5"/>
        <v>208214.476</v>
      </c>
      <c r="AL45" s="295">
        <f t="shared" si="5"/>
        <v>208214.63099999999</v>
      </c>
      <c r="AM45" s="321">
        <f t="shared" si="4"/>
        <v>1.0000007444247057</v>
      </c>
    </row>
    <row r="46" spans="1:39" x14ac:dyDescent="0.25">
      <c r="A46" s="284">
        <v>45</v>
      </c>
      <c r="B46" s="284">
        <v>147</v>
      </c>
      <c r="C46" s="284" t="s">
        <v>213</v>
      </c>
      <c r="D46" s="77" t="s">
        <v>339</v>
      </c>
      <c r="E46" s="128"/>
      <c r="F46" s="128"/>
      <c r="G46" s="128">
        <v>3.4000000000000002E-2</v>
      </c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>
        <v>47680.023999999998</v>
      </c>
      <c r="AG46" s="294">
        <v>47680.023999999998</v>
      </c>
      <c r="AH46" s="294">
        <v>47680.023999999998</v>
      </c>
      <c r="AI46" s="295">
        <f t="shared" si="1"/>
        <v>47680.023999999998</v>
      </c>
      <c r="AJ46" s="295">
        <f t="shared" si="2"/>
        <v>47680.023999999998</v>
      </c>
      <c r="AK46" s="295">
        <f t="shared" si="5"/>
        <v>47680.023999999998</v>
      </c>
      <c r="AL46" s="295">
        <f t="shared" si="5"/>
        <v>47680.057999999997</v>
      </c>
      <c r="AM46" s="321">
        <f t="shared" si="4"/>
        <v>1.0000007130868893</v>
      </c>
    </row>
    <row r="47" spans="1:39" x14ac:dyDescent="0.25">
      <c r="A47" s="284">
        <v>46</v>
      </c>
      <c r="B47" s="284">
        <v>148</v>
      </c>
      <c r="C47" s="76" t="s">
        <v>213</v>
      </c>
      <c r="D47" s="77" t="s">
        <v>341</v>
      </c>
      <c r="E47" s="128"/>
      <c r="F47" s="128"/>
      <c r="G47" s="128"/>
      <c r="H47" s="294"/>
      <c r="I47" s="294"/>
      <c r="J47" s="294"/>
      <c r="K47" s="294"/>
      <c r="L47" s="294"/>
      <c r="M47" s="294"/>
      <c r="N47" s="294"/>
      <c r="O47" s="294"/>
      <c r="P47" s="294"/>
      <c r="Q47" s="294">
        <v>11355</v>
      </c>
      <c r="R47" s="294">
        <v>11355</v>
      </c>
      <c r="S47" s="294">
        <v>11355.38</v>
      </c>
      <c r="T47" s="294">
        <v>159401</v>
      </c>
      <c r="U47" s="294">
        <v>159401</v>
      </c>
      <c r="V47" s="294">
        <v>159400.43799999999</v>
      </c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5">
        <f t="shared" si="1"/>
        <v>170756</v>
      </c>
      <c r="AJ47" s="295">
        <f t="shared" si="2"/>
        <v>170756</v>
      </c>
      <c r="AK47" s="295">
        <f t="shared" si="5"/>
        <v>170756</v>
      </c>
      <c r="AL47" s="295">
        <f t="shared" si="5"/>
        <v>170755.818</v>
      </c>
      <c r="AM47" s="321">
        <f t="shared" si="4"/>
        <v>0.99999893415165497</v>
      </c>
    </row>
    <row r="48" spans="1:39" x14ac:dyDescent="0.25">
      <c r="A48" s="284">
        <v>47</v>
      </c>
      <c r="B48" s="284">
        <v>150</v>
      </c>
      <c r="C48" s="76" t="s">
        <v>213</v>
      </c>
      <c r="D48" s="77" t="s">
        <v>342</v>
      </c>
      <c r="E48" s="128"/>
      <c r="F48" s="128"/>
      <c r="G48" s="128">
        <v>0.04</v>
      </c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>
        <v>55156.603999999999</v>
      </c>
      <c r="AG48" s="294">
        <v>55156.603999999999</v>
      </c>
      <c r="AH48" s="294">
        <v>55156.603999999999</v>
      </c>
      <c r="AI48" s="295">
        <f t="shared" si="1"/>
        <v>55156.603999999999</v>
      </c>
      <c r="AJ48" s="295">
        <f t="shared" si="2"/>
        <v>55156.603999999999</v>
      </c>
      <c r="AK48" s="295">
        <f t="shared" si="5"/>
        <v>55156.603999999999</v>
      </c>
      <c r="AL48" s="295">
        <f t="shared" si="5"/>
        <v>55156.644</v>
      </c>
      <c r="AM48" s="321">
        <f t="shared" si="4"/>
        <v>1.00000072520781</v>
      </c>
    </row>
    <row r="49" spans="1:39" x14ac:dyDescent="0.25">
      <c r="A49" s="284">
        <v>48</v>
      </c>
      <c r="B49" s="284">
        <v>156</v>
      </c>
      <c r="C49" s="284" t="s">
        <v>213</v>
      </c>
      <c r="D49" s="77" t="s">
        <v>377</v>
      </c>
      <c r="E49" s="128"/>
      <c r="F49" s="128"/>
      <c r="G49" s="128">
        <v>1.4999999999999999E-2</v>
      </c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>
        <v>20156.232</v>
      </c>
      <c r="AG49" s="294">
        <v>20156.232</v>
      </c>
      <c r="AH49" s="294">
        <v>20156.232</v>
      </c>
      <c r="AI49" s="295">
        <f t="shared" si="1"/>
        <v>20156.232</v>
      </c>
      <c r="AJ49" s="295"/>
      <c r="AK49" s="295">
        <f t="shared" ref="AK49:AL51" si="9">F49+I49+L49+R49+U49+X49+AG49+AA49</f>
        <v>20156.232</v>
      </c>
      <c r="AL49" s="295">
        <f t="shared" si="9"/>
        <v>20156.246999999999</v>
      </c>
      <c r="AM49" s="321">
        <f t="shared" si="4"/>
        <v>1.0000007441867111</v>
      </c>
    </row>
    <row r="50" spans="1:39" x14ac:dyDescent="0.25">
      <c r="A50" s="284"/>
      <c r="B50" s="284">
        <v>151</v>
      </c>
      <c r="C50" s="284" t="s">
        <v>213</v>
      </c>
      <c r="D50" s="77" t="s">
        <v>553</v>
      </c>
      <c r="E50" s="128"/>
      <c r="F50" s="128"/>
      <c r="G50" s="128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>
        <v>3496.5079999999998</v>
      </c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5"/>
      <c r="AJ50" s="295"/>
      <c r="AK50" s="295"/>
      <c r="AL50" s="295">
        <f t="shared" si="9"/>
        <v>3496.5079999999998</v>
      </c>
      <c r="AM50" s="321"/>
    </row>
    <row r="51" spans="1:39" x14ac:dyDescent="0.25">
      <c r="A51" s="284">
        <v>49</v>
      </c>
      <c r="B51" s="284">
        <v>154</v>
      </c>
      <c r="C51" s="284" t="s">
        <v>207</v>
      </c>
      <c r="D51" s="77" t="s">
        <v>373</v>
      </c>
      <c r="E51" s="128"/>
      <c r="F51" s="128"/>
      <c r="G51" s="128"/>
      <c r="H51" s="294"/>
      <c r="I51" s="294"/>
      <c r="J51" s="294"/>
      <c r="K51" s="294"/>
      <c r="L51" s="294">
        <v>1301.021</v>
      </c>
      <c r="M51" s="294">
        <v>947.30100000000004</v>
      </c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5">
        <f t="shared" si="1"/>
        <v>0</v>
      </c>
      <c r="AJ51" s="295"/>
      <c r="AK51" s="295">
        <f t="shared" si="9"/>
        <v>1301.021</v>
      </c>
      <c r="AL51" s="295">
        <f t="shared" si="9"/>
        <v>947.30100000000004</v>
      </c>
      <c r="AM51" s="321">
        <f t="shared" si="4"/>
        <v>0.72812122171740512</v>
      </c>
    </row>
    <row r="52" spans="1:39" x14ac:dyDescent="0.25">
      <c r="A52" s="284">
        <v>50</v>
      </c>
      <c r="B52" s="284">
        <v>161</v>
      </c>
      <c r="C52" s="284" t="s">
        <v>207</v>
      </c>
      <c r="D52" s="77" t="s">
        <v>439</v>
      </c>
      <c r="E52" s="128"/>
      <c r="F52" s="128"/>
      <c r="G52" s="128"/>
      <c r="H52" s="294"/>
      <c r="I52" s="294"/>
      <c r="J52" s="294"/>
      <c r="K52" s="294"/>
      <c r="L52" s="500">
        <v>794.11300000000006</v>
      </c>
      <c r="M52" s="500">
        <v>616.54899999999998</v>
      </c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5">
        <f t="shared" si="1"/>
        <v>0</v>
      </c>
      <c r="AJ52" s="295"/>
      <c r="AK52" s="295">
        <f>F52+I52+L52+R52+U52+X52+AG52+AA52+O52</f>
        <v>794.11300000000006</v>
      </c>
      <c r="AL52" s="295">
        <f>G52+J52+M52+S52+V52+Y52+AH52+AB52+P52</f>
        <v>616.54899999999998</v>
      </c>
      <c r="AM52" s="321">
        <f t="shared" si="4"/>
        <v>0.77639958041235935</v>
      </c>
    </row>
    <row r="53" spans="1:39" x14ac:dyDescent="0.25">
      <c r="A53" s="284">
        <v>51</v>
      </c>
      <c r="B53" s="284">
        <v>153</v>
      </c>
      <c r="C53" s="284" t="s">
        <v>207</v>
      </c>
      <c r="D53" s="77" t="s">
        <v>440</v>
      </c>
      <c r="E53" s="128"/>
      <c r="F53" s="128"/>
      <c r="G53" s="128"/>
      <c r="H53" s="294"/>
      <c r="I53" s="294"/>
      <c r="J53" s="294"/>
      <c r="K53" s="294"/>
      <c r="L53" s="499">
        <v>6042</v>
      </c>
      <c r="M53" s="499">
        <v>4532.1040000000003</v>
      </c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5">
        <f t="shared" si="1"/>
        <v>0</v>
      </c>
      <c r="AJ53" s="295"/>
      <c r="AK53" s="295">
        <f t="shared" ref="AK53:AK59" si="10">F53+I53+L53+R53+U53+X53+AG53+AA53+O53</f>
        <v>6042</v>
      </c>
      <c r="AL53" s="295">
        <f t="shared" ref="AL53:AL60" si="11">G53+J53+M53+S53+V53+Y53+AH53+AB53+P53</f>
        <v>4532.1040000000003</v>
      </c>
      <c r="AM53" s="321">
        <f t="shared" si="4"/>
        <v>0.7500999668983781</v>
      </c>
    </row>
    <row r="54" spans="1:39" x14ac:dyDescent="0.25">
      <c r="A54" s="284">
        <v>52</v>
      </c>
      <c r="B54" s="284">
        <v>153</v>
      </c>
      <c r="C54" s="284" t="s">
        <v>213</v>
      </c>
      <c r="D54" s="77" t="s">
        <v>440</v>
      </c>
      <c r="E54" s="128"/>
      <c r="F54" s="128"/>
      <c r="G54" s="128"/>
      <c r="H54" s="294"/>
      <c r="I54" s="294"/>
      <c r="J54" s="294"/>
      <c r="K54" s="294"/>
      <c r="L54" s="499">
        <v>6292</v>
      </c>
      <c r="M54" s="499">
        <v>4719.6289999999999</v>
      </c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5">
        <f t="shared" si="1"/>
        <v>0</v>
      </c>
      <c r="AJ54" s="295"/>
      <c r="AK54" s="295">
        <f t="shared" si="10"/>
        <v>6292</v>
      </c>
      <c r="AL54" s="295">
        <f t="shared" si="11"/>
        <v>4719.6289999999999</v>
      </c>
      <c r="AM54" s="321">
        <f t="shared" si="4"/>
        <v>0.75009996821360458</v>
      </c>
    </row>
    <row r="55" spans="1:39" x14ac:dyDescent="0.25">
      <c r="A55" s="284">
        <v>53</v>
      </c>
      <c r="B55" s="284"/>
      <c r="C55" s="284" t="s">
        <v>207</v>
      </c>
      <c r="D55" s="77" t="s">
        <v>441</v>
      </c>
      <c r="E55" s="128"/>
      <c r="F55" s="128"/>
      <c r="G55" s="128"/>
      <c r="H55" s="294"/>
      <c r="I55" s="294"/>
      <c r="J55" s="294"/>
      <c r="K55" s="294"/>
      <c r="L55" s="294">
        <v>636.4</v>
      </c>
      <c r="M55" s="294">
        <v>636.4</v>
      </c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5">
        <f t="shared" si="1"/>
        <v>0</v>
      </c>
      <c r="AJ55" s="295"/>
      <c r="AK55" s="295">
        <f t="shared" si="10"/>
        <v>636.4</v>
      </c>
      <c r="AL55" s="295">
        <f t="shared" si="11"/>
        <v>636.4</v>
      </c>
      <c r="AM55" s="321">
        <f t="shared" si="4"/>
        <v>1</v>
      </c>
    </row>
    <row r="56" spans="1:39" x14ac:dyDescent="0.25">
      <c r="A56" s="284">
        <v>54</v>
      </c>
      <c r="B56" s="284">
        <v>169</v>
      </c>
      <c r="C56" s="284" t="s">
        <v>207</v>
      </c>
      <c r="D56" s="77" t="s">
        <v>442</v>
      </c>
      <c r="E56" s="128"/>
      <c r="F56" s="128"/>
      <c r="G56" s="128"/>
      <c r="H56" s="294"/>
      <c r="I56" s="294"/>
      <c r="J56" s="294"/>
      <c r="K56" s="294"/>
      <c r="L56" s="500">
        <v>185.804</v>
      </c>
      <c r="M56" s="500">
        <v>185.804</v>
      </c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5">
        <f t="shared" si="1"/>
        <v>0</v>
      </c>
      <c r="AJ56" s="295"/>
      <c r="AK56" s="295">
        <f t="shared" si="10"/>
        <v>185.804</v>
      </c>
      <c r="AL56" s="295">
        <f t="shared" si="11"/>
        <v>185.804</v>
      </c>
      <c r="AM56" s="321">
        <f t="shared" si="4"/>
        <v>1</v>
      </c>
    </row>
    <row r="57" spans="1:39" x14ac:dyDescent="0.25">
      <c r="A57" s="284">
        <v>55</v>
      </c>
      <c r="B57" s="284"/>
      <c r="C57" s="284" t="s">
        <v>207</v>
      </c>
      <c r="D57" s="77" t="s">
        <v>443</v>
      </c>
      <c r="E57" s="128"/>
      <c r="F57" s="128"/>
      <c r="G57" s="128"/>
      <c r="H57" s="294"/>
      <c r="I57" s="294"/>
      <c r="J57" s="294"/>
      <c r="K57" s="294"/>
      <c r="L57" s="294">
        <v>669.92499999999995</v>
      </c>
      <c r="M57" s="294">
        <v>669.92499999999995</v>
      </c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5">
        <f t="shared" si="1"/>
        <v>0</v>
      </c>
      <c r="AJ57" s="295"/>
      <c r="AK57" s="295">
        <f t="shared" si="10"/>
        <v>669.92499999999995</v>
      </c>
      <c r="AL57" s="295">
        <f t="shared" si="11"/>
        <v>669.92499999999995</v>
      </c>
      <c r="AM57" s="321">
        <f t="shared" si="4"/>
        <v>1</v>
      </c>
    </row>
    <row r="58" spans="1:39" x14ac:dyDescent="0.25">
      <c r="A58" s="284">
        <v>56</v>
      </c>
      <c r="B58" s="284">
        <v>149</v>
      </c>
      <c r="C58" s="284" t="s">
        <v>213</v>
      </c>
      <c r="D58" s="77" t="s">
        <v>444</v>
      </c>
      <c r="E58" s="128"/>
      <c r="F58" s="128"/>
      <c r="G58" s="128">
        <v>8.9999999999999993E-3</v>
      </c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>
        <v>15352.2</v>
      </c>
      <c r="S58" s="294">
        <v>15352.2</v>
      </c>
      <c r="T58" s="294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5">
        <f t="shared" si="1"/>
        <v>0</v>
      </c>
      <c r="AJ58" s="295"/>
      <c r="AK58" s="295">
        <f t="shared" si="10"/>
        <v>15352.2</v>
      </c>
      <c r="AL58" s="295">
        <f t="shared" si="11"/>
        <v>15352.209000000001</v>
      </c>
      <c r="AM58" s="321">
        <f t="shared" si="4"/>
        <v>1.0000005862351975</v>
      </c>
    </row>
    <row r="59" spans="1:39" x14ac:dyDescent="0.25">
      <c r="A59" s="284">
        <v>57</v>
      </c>
      <c r="B59" s="284">
        <v>115</v>
      </c>
      <c r="C59" s="284" t="s">
        <v>213</v>
      </c>
      <c r="D59" s="77" t="s">
        <v>445</v>
      </c>
      <c r="E59" s="128"/>
      <c r="F59" s="128"/>
      <c r="G59" s="128">
        <v>5.0000000000000001E-3</v>
      </c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>
        <v>9394.2999999999993</v>
      </c>
      <c r="S59" s="294">
        <v>8124.3</v>
      </c>
      <c r="T59" s="294"/>
      <c r="U59" s="294"/>
      <c r="V59" s="294">
        <v>1270</v>
      </c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5">
        <f t="shared" si="1"/>
        <v>0</v>
      </c>
      <c r="AJ59" s="295"/>
      <c r="AK59" s="295">
        <f t="shared" si="10"/>
        <v>9394.2999999999993</v>
      </c>
      <c r="AL59" s="295">
        <f t="shared" si="11"/>
        <v>9394.3050000000003</v>
      </c>
      <c r="AM59" s="321">
        <f t="shared" si="4"/>
        <v>1.0000005322376335</v>
      </c>
    </row>
    <row r="60" spans="1:39" x14ac:dyDescent="0.25">
      <c r="A60" s="284"/>
      <c r="B60" s="284">
        <v>125</v>
      </c>
      <c r="C60" s="284" t="s">
        <v>213</v>
      </c>
      <c r="D60" s="77" t="s">
        <v>552</v>
      </c>
      <c r="E60" s="128"/>
      <c r="F60" s="128"/>
      <c r="G60" s="128">
        <v>13</v>
      </c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5"/>
      <c r="AJ60" s="295"/>
      <c r="AK60" s="295"/>
      <c r="AL60" s="295">
        <f t="shared" si="11"/>
        <v>13</v>
      </c>
      <c r="AM60" s="321"/>
    </row>
    <row r="61" spans="1:39" x14ac:dyDescent="0.25">
      <c r="A61" s="284">
        <v>58</v>
      </c>
      <c r="B61" s="284">
        <v>143</v>
      </c>
      <c r="C61" s="284" t="s">
        <v>207</v>
      </c>
      <c r="D61" s="293" t="s">
        <v>233</v>
      </c>
      <c r="E61" s="128">
        <v>748</v>
      </c>
      <c r="F61" s="128">
        <v>748</v>
      </c>
      <c r="G61" s="128">
        <v>364.62900000000002</v>
      </c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5">
        <f t="shared" si="1"/>
        <v>748</v>
      </c>
      <c r="AJ61" s="295">
        <f t="shared" si="2"/>
        <v>748</v>
      </c>
      <c r="AK61" s="295">
        <f t="shared" si="5"/>
        <v>748</v>
      </c>
      <c r="AL61" s="295">
        <f t="shared" si="5"/>
        <v>364.62900000000002</v>
      </c>
      <c r="AM61" s="321">
        <f t="shared" si="4"/>
        <v>0.48747192513368987</v>
      </c>
    </row>
    <row r="62" spans="1:39" x14ac:dyDescent="0.25">
      <c r="A62" s="284">
        <v>59</v>
      </c>
      <c r="B62" s="284">
        <v>144</v>
      </c>
      <c r="C62" s="302" t="s">
        <v>207</v>
      </c>
      <c r="D62" s="293" t="s">
        <v>234</v>
      </c>
      <c r="E62" s="128">
        <v>4009</v>
      </c>
      <c r="F62" s="128">
        <v>4009</v>
      </c>
      <c r="G62" s="128">
        <v>3337.1889999999999</v>
      </c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5">
        <f t="shared" si="1"/>
        <v>4009</v>
      </c>
      <c r="AJ62" s="295">
        <f t="shared" si="2"/>
        <v>4009</v>
      </c>
      <c r="AK62" s="295">
        <f t="shared" si="5"/>
        <v>4009</v>
      </c>
      <c r="AL62" s="295">
        <f t="shared" si="5"/>
        <v>3337.1889999999999</v>
      </c>
      <c r="AM62" s="321">
        <f t="shared" si="4"/>
        <v>0.83242429533549511</v>
      </c>
    </row>
    <row r="63" spans="1:39" ht="15.75" x14ac:dyDescent="0.25">
      <c r="A63" s="284">
        <v>60</v>
      </c>
      <c r="B63" s="284"/>
      <c r="C63" s="284"/>
      <c r="D63" s="286" t="s">
        <v>235</v>
      </c>
      <c r="E63" s="295">
        <f t="shared" ref="E63:AD63" si="12">SUM(E5:E62)</f>
        <v>23257</v>
      </c>
      <c r="F63" s="295">
        <f t="shared" si="12"/>
        <v>23257</v>
      </c>
      <c r="G63" s="502">
        <f t="shared" si="12"/>
        <v>23680.654999999999</v>
      </c>
      <c r="H63" s="295">
        <f t="shared" si="12"/>
        <v>102821</v>
      </c>
      <c r="I63" s="295">
        <f t="shared" si="12"/>
        <v>102821</v>
      </c>
      <c r="J63" s="502">
        <f t="shared" si="12"/>
        <v>101376.80799999999</v>
      </c>
      <c r="K63" s="295">
        <f t="shared" si="12"/>
        <v>299157.57900000003</v>
      </c>
      <c r="L63" s="295">
        <f t="shared" si="12"/>
        <v>315078.84200000006</v>
      </c>
      <c r="M63" s="502">
        <f t="shared" si="12"/>
        <v>239256.802</v>
      </c>
      <c r="N63" s="295">
        <f t="shared" si="12"/>
        <v>15000</v>
      </c>
      <c r="O63" s="295">
        <f t="shared" si="12"/>
        <v>15000</v>
      </c>
      <c r="P63" s="502">
        <f t="shared" si="12"/>
        <v>15000</v>
      </c>
      <c r="Q63" s="295">
        <f t="shared" si="12"/>
        <v>130742</v>
      </c>
      <c r="R63" s="295">
        <f t="shared" si="12"/>
        <v>155488.5</v>
      </c>
      <c r="S63" s="502">
        <f t="shared" si="12"/>
        <v>125919.49900000001</v>
      </c>
      <c r="T63" s="295">
        <f t="shared" si="12"/>
        <v>307909</v>
      </c>
      <c r="U63" s="295">
        <f t="shared" si="12"/>
        <v>298129.05499999999</v>
      </c>
      <c r="V63" s="502">
        <f t="shared" si="12"/>
        <v>207109.965</v>
      </c>
      <c r="W63" s="295">
        <f t="shared" si="12"/>
        <v>0</v>
      </c>
      <c r="X63" s="295">
        <f t="shared" si="12"/>
        <v>0</v>
      </c>
      <c r="Y63" s="295">
        <f t="shared" si="12"/>
        <v>0</v>
      </c>
      <c r="Z63" s="295">
        <f t="shared" si="12"/>
        <v>0</v>
      </c>
      <c r="AA63" s="295">
        <f t="shared" si="12"/>
        <v>0</v>
      </c>
      <c r="AB63" s="295">
        <f t="shared" si="12"/>
        <v>0</v>
      </c>
      <c r="AC63" s="295">
        <f t="shared" si="12"/>
        <v>0</v>
      </c>
      <c r="AD63" s="295">
        <f t="shared" si="12"/>
        <v>0</v>
      </c>
      <c r="AE63" s="295">
        <f>SUM(AE37:AE62)</f>
        <v>0</v>
      </c>
      <c r="AF63" s="295">
        <f t="shared" ref="AF63:AL63" si="13">SUM(AF5:AF62)</f>
        <v>457973.75299999997</v>
      </c>
      <c r="AG63" s="295">
        <f t="shared" si="13"/>
        <v>463751.09299999999</v>
      </c>
      <c r="AH63" s="502">
        <f t="shared" si="13"/>
        <v>463751.09299999999</v>
      </c>
      <c r="AI63" s="295">
        <f t="shared" si="13"/>
        <v>1336860.3320000002</v>
      </c>
      <c r="AJ63" s="295">
        <f t="shared" si="13"/>
        <v>1217756.365</v>
      </c>
      <c r="AK63" s="295">
        <f t="shared" si="13"/>
        <v>1373525.49</v>
      </c>
      <c r="AL63" s="502">
        <f t="shared" si="13"/>
        <v>1176094.8219999999</v>
      </c>
      <c r="AM63" s="321">
        <f t="shared" si="4"/>
        <v>0.85625991695283354</v>
      </c>
    </row>
    <row r="64" spans="1:39" x14ac:dyDescent="0.25">
      <c r="A64" s="284">
        <v>61</v>
      </c>
      <c r="B64" s="284"/>
      <c r="C64" s="284"/>
      <c r="D64" s="296" t="s">
        <v>236</v>
      </c>
      <c r="E64" s="303">
        <f t="shared" ref="E64:J64" si="14">SUMIF($C5:$C62,"kötelező",E5:E62)</f>
        <v>20757</v>
      </c>
      <c r="F64" s="303">
        <f t="shared" si="14"/>
        <v>20757</v>
      </c>
      <c r="G64" s="303">
        <f t="shared" si="14"/>
        <v>21753.806</v>
      </c>
      <c r="H64" s="303">
        <f t="shared" si="14"/>
        <v>102821</v>
      </c>
      <c r="I64" s="303">
        <f t="shared" si="14"/>
        <v>102821</v>
      </c>
      <c r="J64" s="303">
        <f t="shared" si="14"/>
        <v>101376.80799999999</v>
      </c>
      <c r="K64" s="303">
        <f>SUMIF($C5:$C62,"kötelező",K5:K62)-7170</f>
        <v>257157.57900000003</v>
      </c>
      <c r="L64" s="303">
        <f>SUMIF($C5:$C62,"kötelező",L5:L62)-7170</f>
        <v>266786.84200000006</v>
      </c>
      <c r="M64" s="303">
        <f>M63-M66-5377.5</f>
        <v>203033.69</v>
      </c>
      <c r="N64" s="303">
        <f>SUMIF($C5:$C62,"kötelező",N5:N62)</f>
        <v>0</v>
      </c>
      <c r="O64" s="303">
        <f>SUMIF($C5:$C62,"kötelező",$O5:$O62)</f>
        <v>0</v>
      </c>
      <c r="P64" s="303">
        <f>SUMIF($C5:$C62,"kötelező",$P5:$P62)</f>
        <v>0</v>
      </c>
      <c r="Q64" s="303">
        <f t="shared" ref="Q64:AF64" si="15">SUMIF($C5:$C62,"kötelező",Q5:Q62)</f>
        <v>114373</v>
      </c>
      <c r="R64" s="303">
        <f t="shared" si="15"/>
        <v>114373</v>
      </c>
      <c r="S64" s="303">
        <f t="shared" si="15"/>
        <v>84967.968999999997</v>
      </c>
      <c r="T64" s="303">
        <f t="shared" si="15"/>
        <v>0</v>
      </c>
      <c r="U64" s="303">
        <f t="shared" si="15"/>
        <v>0</v>
      </c>
      <c r="V64" s="303">
        <f t="shared" si="15"/>
        <v>0</v>
      </c>
      <c r="W64" s="303">
        <f t="shared" si="15"/>
        <v>0</v>
      </c>
      <c r="X64" s="303">
        <f t="shared" si="15"/>
        <v>0</v>
      </c>
      <c r="Y64" s="303">
        <f t="shared" si="15"/>
        <v>0</v>
      </c>
      <c r="Z64" s="303">
        <f t="shared" si="15"/>
        <v>0</v>
      </c>
      <c r="AA64" s="303">
        <f t="shared" si="15"/>
        <v>0</v>
      </c>
      <c r="AB64" s="303">
        <f t="shared" si="15"/>
        <v>0</v>
      </c>
      <c r="AC64" s="303">
        <f t="shared" si="15"/>
        <v>0</v>
      </c>
      <c r="AD64" s="303">
        <f t="shared" si="15"/>
        <v>0</v>
      </c>
      <c r="AE64" s="303">
        <f t="shared" si="15"/>
        <v>0</v>
      </c>
      <c r="AF64" s="303">
        <f t="shared" si="15"/>
        <v>22555.454000000002</v>
      </c>
      <c r="AG64" s="303">
        <f t="shared" ref="AG64:AH64" si="16">SUMIF($C5:$C62,"kötelező",AG5:AG62)</f>
        <v>27832.904999999999</v>
      </c>
      <c r="AH64" s="303">
        <f t="shared" si="16"/>
        <v>27832.904999999999</v>
      </c>
      <c r="AI64" s="303">
        <f>E64+H64+K64+Q64+T64+W64+AF64</f>
        <v>517664.03300000005</v>
      </c>
      <c r="AJ64" s="303">
        <f t="shared" ref="AJ64" si="17">F64+I64+L64+R64+U64+X64+AG64</f>
        <v>532570.74700000009</v>
      </c>
      <c r="AK64" s="303">
        <f>F64+I64+L64+R64+U64+X64+AG64+AA64+O64</f>
        <v>532570.74700000009</v>
      </c>
      <c r="AL64" s="303">
        <f>G64+J64+M64+S64+V64+Y64+AH64+AB64+P64+AE64</f>
        <v>438965.17799999996</v>
      </c>
      <c r="AM64" s="319">
        <f t="shared" si="4"/>
        <v>0.82423824528987866</v>
      </c>
    </row>
    <row r="65" spans="1:39" x14ac:dyDescent="0.25">
      <c r="A65" s="284">
        <v>62</v>
      </c>
      <c r="B65" s="284"/>
      <c r="C65" s="284"/>
      <c r="D65" s="296" t="s">
        <v>305</v>
      </c>
      <c r="E65" s="303"/>
      <c r="F65" s="303"/>
      <c r="G65" s="303"/>
      <c r="H65" s="303"/>
      <c r="I65" s="303"/>
      <c r="J65" s="303"/>
      <c r="K65" s="303">
        <v>7170</v>
      </c>
      <c r="L65" s="303">
        <v>7170</v>
      </c>
      <c r="M65" s="303">
        <v>5377.5</v>
      </c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>
        <f t="shared" ref="AI65" si="18">E65+H65+K65+Q65+T65+W65+AF65</f>
        <v>7170</v>
      </c>
      <c r="AJ65" s="303">
        <v>5525</v>
      </c>
      <c r="AK65" s="303">
        <f t="shared" ref="AK65:AL66" si="19">F65+I65+L65+R65+U65+X65+AG65+AA65+O65</f>
        <v>7170</v>
      </c>
      <c r="AL65" s="303">
        <f t="shared" si="19"/>
        <v>5377.5</v>
      </c>
      <c r="AM65" s="319">
        <f t="shared" si="4"/>
        <v>0.75</v>
      </c>
    </row>
    <row r="66" spans="1:39" x14ac:dyDescent="0.25">
      <c r="A66" s="284">
        <v>63</v>
      </c>
      <c r="B66" s="284"/>
      <c r="C66" s="296"/>
      <c r="D66" s="296" t="s">
        <v>237</v>
      </c>
      <c r="E66" s="303">
        <f t="shared" ref="E66:O66" si="20">SUMIF($C5:$C62,"nem kötelező",E5:E62)</f>
        <v>2500</v>
      </c>
      <c r="F66" s="303">
        <f t="shared" si="20"/>
        <v>2500</v>
      </c>
      <c r="G66" s="303">
        <f t="shared" si="20"/>
        <v>1926.8490000000002</v>
      </c>
      <c r="H66" s="303">
        <f t="shared" si="20"/>
        <v>0</v>
      </c>
      <c r="I66" s="303">
        <f t="shared" si="20"/>
        <v>0</v>
      </c>
      <c r="J66" s="303">
        <f t="shared" si="20"/>
        <v>0</v>
      </c>
      <c r="K66" s="303">
        <f t="shared" si="20"/>
        <v>34830</v>
      </c>
      <c r="L66" s="303">
        <f t="shared" si="20"/>
        <v>41122</v>
      </c>
      <c r="M66" s="303">
        <f t="shared" si="20"/>
        <v>30845.612000000001</v>
      </c>
      <c r="N66" s="303">
        <f t="shared" si="20"/>
        <v>15000</v>
      </c>
      <c r="O66" s="303">
        <f t="shared" si="20"/>
        <v>15000</v>
      </c>
      <c r="P66" s="303">
        <f>SUMIF($C5:$C62,"nem kötelező",$P5:$P62)</f>
        <v>15000</v>
      </c>
      <c r="Q66" s="303">
        <f t="shared" ref="Q66:AE66" si="21">SUMIF($C5:$C62,"nem kötelező",Q5:Q62)</f>
        <v>16369</v>
      </c>
      <c r="R66" s="303">
        <f t="shared" si="21"/>
        <v>41115.5</v>
      </c>
      <c r="S66" s="303">
        <f t="shared" si="21"/>
        <v>40951.53</v>
      </c>
      <c r="T66" s="303">
        <f t="shared" si="21"/>
        <v>307909</v>
      </c>
      <c r="U66" s="303">
        <f t="shared" si="21"/>
        <v>298129.05499999999</v>
      </c>
      <c r="V66" s="303">
        <f t="shared" si="21"/>
        <v>207109.965</v>
      </c>
      <c r="W66" s="303">
        <f t="shared" si="21"/>
        <v>0</v>
      </c>
      <c r="X66" s="303">
        <f t="shared" si="21"/>
        <v>0</v>
      </c>
      <c r="Y66" s="303">
        <f t="shared" si="21"/>
        <v>0</v>
      </c>
      <c r="Z66" s="303">
        <f t="shared" si="21"/>
        <v>0</v>
      </c>
      <c r="AA66" s="303">
        <f t="shared" si="21"/>
        <v>0</v>
      </c>
      <c r="AB66" s="303">
        <f t="shared" si="21"/>
        <v>0</v>
      </c>
      <c r="AC66" s="303">
        <f t="shared" si="21"/>
        <v>0</v>
      </c>
      <c r="AD66" s="303">
        <f t="shared" si="21"/>
        <v>0</v>
      </c>
      <c r="AE66" s="303">
        <f t="shared" si="21"/>
        <v>0</v>
      </c>
      <c r="AF66" s="303">
        <f t="shared" ref="AF66:AH66" si="22">SUMIF($C5:$C62,"nem kötelező",AF5:AF62)</f>
        <v>435418.299</v>
      </c>
      <c r="AG66" s="303">
        <f t="shared" si="22"/>
        <v>435918.18799999997</v>
      </c>
      <c r="AH66" s="303">
        <f t="shared" si="22"/>
        <v>435918.18799999997</v>
      </c>
      <c r="AI66" s="303">
        <f>E66+H66+K66+Q66+T66+W66+AF66+N66</f>
        <v>812026.299</v>
      </c>
      <c r="AJ66" s="303">
        <f>SUMIF($C5:$C62,"nem kötelező",AJ5:AJ62)+92025.911-10610.254</f>
        <v>784408.66800000006</v>
      </c>
      <c r="AK66" s="303">
        <f>F66+I66+L66+R66+U66+X66+AG66+AA66+O66</f>
        <v>833784.74300000002</v>
      </c>
      <c r="AL66" s="303">
        <f t="shared" si="19"/>
        <v>731752.14399999997</v>
      </c>
      <c r="AM66" s="319">
        <f t="shared" si="4"/>
        <v>0.8776271695343314</v>
      </c>
    </row>
    <row r="67" spans="1:39" s="292" customFormat="1" x14ac:dyDescent="0.25">
      <c r="A67" s="284">
        <v>64</v>
      </c>
      <c r="B67" s="284"/>
      <c r="C67" s="287"/>
      <c r="D67" s="304" t="s">
        <v>315</v>
      </c>
      <c r="E67" s="305">
        <f t="shared" ref="E67:J67" si="23">SUM(E68:E70)</f>
        <v>338.1</v>
      </c>
      <c r="F67" s="305">
        <f t="shared" si="23"/>
        <v>338.1</v>
      </c>
      <c r="G67" s="305">
        <f t="shared" si="23"/>
        <v>281.505</v>
      </c>
      <c r="H67" s="305">
        <f t="shared" si="23"/>
        <v>0</v>
      </c>
      <c r="I67" s="305">
        <f t="shared" si="23"/>
        <v>0</v>
      </c>
      <c r="J67" s="305">
        <f t="shared" si="23"/>
        <v>0</v>
      </c>
      <c r="K67" s="305">
        <f t="shared" ref="K67:AK67" si="24">SUM(K68:K70)</f>
        <v>0</v>
      </c>
      <c r="L67" s="305">
        <f t="shared" si="24"/>
        <v>0</v>
      </c>
      <c r="M67" s="305">
        <f t="shared" si="24"/>
        <v>0</v>
      </c>
      <c r="N67" s="305">
        <f t="shared" si="24"/>
        <v>0</v>
      </c>
      <c r="O67" s="305">
        <f t="shared" si="24"/>
        <v>0</v>
      </c>
      <c r="P67" s="305">
        <f t="shared" si="24"/>
        <v>0</v>
      </c>
      <c r="Q67" s="305">
        <f t="shared" si="24"/>
        <v>0</v>
      </c>
      <c r="R67" s="305">
        <f t="shared" si="24"/>
        <v>1153.3989999999999</v>
      </c>
      <c r="S67" s="305">
        <f t="shared" si="24"/>
        <v>1165.1579999999999</v>
      </c>
      <c r="T67" s="305">
        <f t="shared" si="24"/>
        <v>0</v>
      </c>
      <c r="U67" s="305">
        <f t="shared" si="24"/>
        <v>0</v>
      </c>
      <c r="V67" s="305">
        <f t="shared" si="24"/>
        <v>0</v>
      </c>
      <c r="W67" s="305">
        <f t="shared" si="24"/>
        <v>0</v>
      </c>
      <c r="X67" s="305">
        <f t="shared" si="24"/>
        <v>0</v>
      </c>
      <c r="Y67" s="305">
        <f t="shared" si="24"/>
        <v>0</v>
      </c>
      <c r="Z67" s="305">
        <f t="shared" si="24"/>
        <v>0</v>
      </c>
      <c r="AA67" s="305">
        <f t="shared" si="24"/>
        <v>0</v>
      </c>
      <c r="AB67" s="305">
        <f t="shared" si="24"/>
        <v>0</v>
      </c>
      <c r="AC67" s="305">
        <f t="shared" si="24"/>
        <v>0</v>
      </c>
      <c r="AD67" s="305">
        <f t="shared" si="24"/>
        <v>0</v>
      </c>
      <c r="AE67" s="305">
        <f t="shared" si="24"/>
        <v>0</v>
      </c>
      <c r="AF67" s="305">
        <f t="shared" si="24"/>
        <v>0</v>
      </c>
      <c r="AG67" s="305">
        <f t="shared" si="24"/>
        <v>371.66399999999999</v>
      </c>
      <c r="AH67" s="305">
        <f t="shared" si="24"/>
        <v>371.66399999999999</v>
      </c>
      <c r="AI67" s="305">
        <f t="shared" si="24"/>
        <v>338.1</v>
      </c>
      <c r="AJ67" s="305">
        <f t="shared" si="24"/>
        <v>1863.1629999999998</v>
      </c>
      <c r="AK67" s="305">
        <f t="shared" si="24"/>
        <v>1863.1629999999998</v>
      </c>
      <c r="AL67" s="305">
        <f t="shared" ref="AL67" si="25">SUM(AL68:AL70)</f>
        <v>1818.327</v>
      </c>
      <c r="AM67" s="321">
        <f t="shared" si="4"/>
        <v>0.97593554616531142</v>
      </c>
    </row>
    <row r="68" spans="1:39" x14ac:dyDescent="0.25">
      <c r="A68" s="284">
        <v>65</v>
      </c>
      <c r="B68" s="284"/>
      <c r="C68" s="284" t="s">
        <v>207</v>
      </c>
      <c r="D68" s="307" t="s">
        <v>238</v>
      </c>
      <c r="E68" s="308">
        <v>338.1</v>
      </c>
      <c r="F68" s="308">
        <v>338.1</v>
      </c>
      <c r="G68" s="308">
        <v>281.505</v>
      </c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>
        <v>1153.3989999999999</v>
      </c>
      <c r="S68" s="308">
        <v>1165.1579999999999</v>
      </c>
      <c r="T68" s="308"/>
      <c r="U68" s="308"/>
      <c r="V68" s="308"/>
      <c r="W68" s="308"/>
      <c r="X68" s="308"/>
      <c r="Y68" s="308"/>
      <c r="Z68" s="308"/>
      <c r="AA68" s="308"/>
      <c r="AB68" s="308"/>
      <c r="AC68" s="308"/>
      <c r="AD68" s="308"/>
      <c r="AE68" s="308"/>
      <c r="AF68" s="308"/>
      <c r="AG68" s="308">
        <v>371.66399999999999</v>
      </c>
      <c r="AH68" s="308">
        <v>371.66399999999999</v>
      </c>
      <c r="AI68" s="309">
        <f>E68+H68+K68+Q68+T68+W68+AF68</f>
        <v>338.1</v>
      </c>
      <c r="AJ68" s="309">
        <f t="shared" ref="AJ68" si="26">F68+I68+L68+R68+U68+X68+AG68</f>
        <v>1863.1629999999998</v>
      </c>
      <c r="AK68" s="309">
        <f>F68+I68+L68+R68+U68+X68+AG68</f>
        <v>1863.1629999999998</v>
      </c>
      <c r="AL68" s="309">
        <f>G68+J68+M68+S68+V68+Y68+AH68</f>
        <v>1818.327</v>
      </c>
      <c r="AM68" s="319">
        <f t="shared" si="4"/>
        <v>0.97593554616531142</v>
      </c>
    </row>
    <row r="69" spans="1:39" x14ac:dyDescent="0.25">
      <c r="A69" s="284">
        <v>66</v>
      </c>
      <c r="B69" s="284"/>
      <c r="C69" s="284" t="s">
        <v>213</v>
      </c>
      <c r="D69" s="307" t="s">
        <v>239</v>
      </c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9">
        <f t="shared" ref="AI69:AI70" si="27">E69+H69+K69+Q69+T69+W69+AF69</f>
        <v>0</v>
      </c>
      <c r="AJ69" s="310"/>
      <c r="AK69" s="309">
        <f t="shared" ref="AK69:AK70" si="28">F69+I69+L69+R69+U69+X69+AG69</f>
        <v>0</v>
      </c>
      <c r="AL69" s="309">
        <f t="shared" ref="AL69:AL70" si="29">G69+J69+M69+S69+V69+Y69+AH69</f>
        <v>0</v>
      </c>
      <c r="AM69" s="321"/>
    </row>
    <row r="70" spans="1:39" x14ac:dyDescent="0.25">
      <c r="A70" s="284">
        <v>67</v>
      </c>
      <c r="B70" s="284"/>
      <c r="C70" s="284" t="s">
        <v>314</v>
      </c>
      <c r="D70" s="307" t="s">
        <v>305</v>
      </c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09">
        <f t="shared" si="27"/>
        <v>0</v>
      </c>
      <c r="AJ70" s="310"/>
      <c r="AK70" s="309">
        <f t="shared" si="28"/>
        <v>0</v>
      </c>
      <c r="AL70" s="309">
        <f t="shared" si="29"/>
        <v>0</v>
      </c>
      <c r="AM70" s="321"/>
    </row>
    <row r="71" spans="1:39" s="292" customFormat="1" x14ac:dyDescent="0.25">
      <c r="A71" s="284">
        <v>68</v>
      </c>
      <c r="B71" s="284"/>
      <c r="C71" s="287"/>
      <c r="D71" s="304" t="s">
        <v>240</v>
      </c>
      <c r="E71" s="305">
        <f>SUM(E72:E73)</f>
        <v>305.10000000000002</v>
      </c>
      <c r="F71" s="305">
        <f>SUM(F72:F73)</f>
        <v>305.10000000000002</v>
      </c>
      <c r="G71" s="305">
        <f>SUM(G72:G73)</f>
        <v>305.29899999999998</v>
      </c>
      <c r="H71" s="305">
        <f t="shared" ref="H71:AK71" si="30">SUM(H72:H73)</f>
        <v>0</v>
      </c>
      <c r="I71" s="305">
        <f t="shared" si="30"/>
        <v>0</v>
      </c>
      <c r="J71" s="305">
        <f t="shared" si="30"/>
        <v>0</v>
      </c>
      <c r="K71" s="305">
        <f t="shared" si="30"/>
        <v>0</v>
      </c>
      <c r="L71" s="305">
        <f t="shared" si="30"/>
        <v>0</v>
      </c>
      <c r="M71" s="305">
        <f t="shared" si="30"/>
        <v>0</v>
      </c>
      <c r="N71" s="305">
        <f t="shared" si="30"/>
        <v>0</v>
      </c>
      <c r="O71" s="305">
        <f t="shared" si="30"/>
        <v>0</v>
      </c>
      <c r="P71" s="305">
        <f t="shared" si="30"/>
        <v>0</v>
      </c>
      <c r="Q71" s="305">
        <f t="shared" si="30"/>
        <v>0</v>
      </c>
      <c r="R71" s="305">
        <f t="shared" si="30"/>
        <v>0</v>
      </c>
      <c r="S71" s="305">
        <f t="shared" si="30"/>
        <v>0</v>
      </c>
      <c r="T71" s="305">
        <f t="shared" si="30"/>
        <v>0</v>
      </c>
      <c r="U71" s="305">
        <f t="shared" si="30"/>
        <v>0</v>
      </c>
      <c r="V71" s="305">
        <f t="shared" si="30"/>
        <v>0</v>
      </c>
      <c r="W71" s="305">
        <f t="shared" si="30"/>
        <v>0</v>
      </c>
      <c r="X71" s="305">
        <f t="shared" si="30"/>
        <v>0</v>
      </c>
      <c r="Y71" s="305">
        <f t="shared" si="30"/>
        <v>0</v>
      </c>
      <c r="Z71" s="305">
        <f t="shared" si="30"/>
        <v>0</v>
      </c>
      <c r="AA71" s="305">
        <f t="shared" si="30"/>
        <v>0</v>
      </c>
      <c r="AB71" s="305">
        <f t="shared" si="30"/>
        <v>0</v>
      </c>
      <c r="AC71" s="305">
        <f t="shared" si="30"/>
        <v>0</v>
      </c>
      <c r="AD71" s="305">
        <f t="shared" si="30"/>
        <v>0</v>
      </c>
      <c r="AE71" s="305">
        <f t="shared" si="30"/>
        <v>0</v>
      </c>
      <c r="AF71" s="305">
        <f t="shared" si="30"/>
        <v>0</v>
      </c>
      <c r="AG71" s="305">
        <f t="shared" si="30"/>
        <v>0</v>
      </c>
      <c r="AH71" s="305">
        <f t="shared" si="30"/>
        <v>0</v>
      </c>
      <c r="AI71" s="305">
        <f t="shared" si="30"/>
        <v>305.10000000000002</v>
      </c>
      <c r="AJ71" s="305">
        <f t="shared" si="30"/>
        <v>305.10000000000002</v>
      </c>
      <c r="AK71" s="305">
        <f t="shared" si="30"/>
        <v>305.10000000000002</v>
      </c>
      <c r="AL71" s="305">
        <f>SUM(AL72:AL73)</f>
        <v>305.29899999999998</v>
      </c>
      <c r="AM71" s="321">
        <f>AL71/AK71</f>
        <v>1.0006522451655193</v>
      </c>
    </row>
    <row r="72" spans="1:39" x14ac:dyDescent="0.25">
      <c r="A72" s="284">
        <v>69</v>
      </c>
      <c r="B72" s="284"/>
      <c r="C72" s="284" t="s">
        <v>207</v>
      </c>
      <c r="D72" s="307" t="s">
        <v>238</v>
      </c>
      <c r="E72" s="308">
        <v>305.10000000000002</v>
      </c>
      <c r="F72" s="308">
        <v>305.10000000000002</v>
      </c>
      <c r="G72" s="308">
        <v>305.29899999999998</v>
      </c>
      <c r="H72" s="308"/>
      <c r="I72" s="308"/>
      <c r="J72" s="308"/>
      <c r="K72" s="308"/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5">
        <f>E72+H72+K72+N72+Q72+T72+W72+Z72+AC72+AF72</f>
        <v>305.10000000000002</v>
      </c>
      <c r="AJ72" s="305">
        <f t="shared" ref="AJ72" si="31">F72+I72+L72+O72+R72+U72+X72+AA72+AD72+AG72</f>
        <v>305.10000000000002</v>
      </c>
      <c r="AK72" s="305">
        <f>F72+I72+L72+O72</f>
        <v>305.10000000000002</v>
      </c>
      <c r="AL72" s="327">
        <f>AH72+AE72+AB72+Y72+V72+S72+P72+M72+J72+G72</f>
        <v>305.29899999999998</v>
      </c>
      <c r="AM72" s="321">
        <f>AL72/AK72</f>
        <v>1.0006522451655193</v>
      </c>
    </row>
    <row r="73" spans="1:39" x14ac:dyDescent="0.25">
      <c r="A73" s="284">
        <v>70</v>
      </c>
      <c r="B73" s="284"/>
      <c r="C73" s="284" t="s">
        <v>213</v>
      </c>
      <c r="D73" s="307" t="s">
        <v>239</v>
      </c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  <c r="AC73" s="308"/>
      <c r="AD73" s="308"/>
      <c r="AE73" s="308"/>
      <c r="AF73" s="308"/>
      <c r="AG73" s="308"/>
      <c r="AH73" s="308"/>
      <c r="AI73" s="305">
        <f>E73+H73+K73+N73+Q73+T73+W73+Z73+AC73+AF73</f>
        <v>0</v>
      </c>
      <c r="AJ73" s="310"/>
      <c r="AK73" s="305">
        <f>F73+I73+L73+O73</f>
        <v>0</v>
      </c>
      <c r="AL73" s="326"/>
      <c r="AM73" s="321"/>
    </row>
    <row r="74" spans="1:39" s="292" customFormat="1" x14ac:dyDescent="0.25">
      <c r="A74" s="284">
        <v>71</v>
      </c>
      <c r="B74" s="284"/>
      <c r="C74" s="287"/>
      <c r="D74" s="304" t="s">
        <v>241</v>
      </c>
      <c r="E74" s="305">
        <f>E75+E76</f>
        <v>32438</v>
      </c>
      <c r="F74" s="305">
        <f>F75+F76</f>
        <v>32438</v>
      </c>
      <c r="G74" s="305">
        <f>G75+G76</f>
        <v>24280.667000000001</v>
      </c>
      <c r="H74" s="305">
        <f t="shared" ref="H74:AH74" si="32">H75+H76</f>
        <v>0</v>
      </c>
      <c r="I74" s="305">
        <f t="shared" si="32"/>
        <v>0</v>
      </c>
      <c r="J74" s="305">
        <f t="shared" si="32"/>
        <v>0</v>
      </c>
      <c r="K74" s="305">
        <f t="shared" si="32"/>
        <v>0</v>
      </c>
      <c r="L74" s="305">
        <f t="shared" si="32"/>
        <v>0</v>
      </c>
      <c r="M74" s="305">
        <f t="shared" si="32"/>
        <v>0</v>
      </c>
      <c r="N74" s="305">
        <f t="shared" si="32"/>
        <v>0</v>
      </c>
      <c r="O74" s="305">
        <f t="shared" si="32"/>
        <v>0</v>
      </c>
      <c r="P74" s="305">
        <f t="shared" si="32"/>
        <v>0</v>
      </c>
      <c r="Q74" s="305">
        <f t="shared" si="32"/>
        <v>966</v>
      </c>
      <c r="R74" s="305">
        <f t="shared" si="32"/>
        <v>966</v>
      </c>
      <c r="S74" s="305">
        <f t="shared" si="32"/>
        <v>946.28499999999997</v>
      </c>
      <c r="T74" s="305">
        <f t="shared" si="32"/>
        <v>0</v>
      </c>
      <c r="U74" s="305">
        <f t="shared" si="32"/>
        <v>0</v>
      </c>
      <c r="V74" s="305">
        <f t="shared" si="32"/>
        <v>0</v>
      </c>
      <c r="W74" s="305">
        <f t="shared" si="32"/>
        <v>0</v>
      </c>
      <c r="X74" s="305">
        <f t="shared" si="32"/>
        <v>0</v>
      </c>
      <c r="Y74" s="305">
        <f t="shared" si="32"/>
        <v>0</v>
      </c>
      <c r="Z74" s="305">
        <f t="shared" si="32"/>
        <v>0</v>
      </c>
      <c r="AA74" s="305">
        <f t="shared" si="32"/>
        <v>0</v>
      </c>
      <c r="AB74" s="305">
        <f t="shared" si="32"/>
        <v>0</v>
      </c>
      <c r="AC74" s="305">
        <f t="shared" si="32"/>
        <v>0</v>
      </c>
      <c r="AD74" s="305">
        <f t="shared" si="32"/>
        <v>0</v>
      </c>
      <c r="AE74" s="305">
        <f t="shared" si="32"/>
        <v>0</v>
      </c>
      <c r="AF74" s="305">
        <f t="shared" si="32"/>
        <v>0</v>
      </c>
      <c r="AG74" s="305">
        <f t="shared" si="32"/>
        <v>483.49900000000002</v>
      </c>
      <c r="AH74" s="305">
        <f t="shared" si="32"/>
        <v>483.49900000000002</v>
      </c>
      <c r="AI74" s="305">
        <f>SUM(AI75:AI76)</f>
        <v>33404</v>
      </c>
      <c r="AJ74" s="305">
        <f t="shared" ref="AJ74:AK74" si="33">SUM(AJ75:AJ76)</f>
        <v>33887.498999999996</v>
      </c>
      <c r="AK74" s="305">
        <f t="shared" si="33"/>
        <v>33887.498999999996</v>
      </c>
      <c r="AL74" s="305">
        <f t="shared" ref="AL74" si="34">SUM(AL75:AL76)</f>
        <v>25710.451000000001</v>
      </c>
      <c r="AM74" s="321">
        <f t="shared" si="4"/>
        <v>0.75870016255847039</v>
      </c>
    </row>
    <row r="75" spans="1:39" x14ac:dyDescent="0.25">
      <c r="A75" s="284">
        <v>72</v>
      </c>
      <c r="B75" s="284"/>
      <c r="C75" s="284" t="s">
        <v>207</v>
      </c>
      <c r="D75" s="307" t="s">
        <v>238</v>
      </c>
      <c r="E75" s="308">
        <v>4857</v>
      </c>
      <c r="F75" s="308">
        <v>4857</v>
      </c>
      <c r="G75" s="308">
        <v>3388.4810000000002</v>
      </c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08"/>
      <c r="AI75" s="309">
        <f>E75+H75+K75+Q75+T75+W75+AF75</f>
        <v>4857</v>
      </c>
      <c r="AJ75" s="309">
        <f t="shared" ref="AJ75:AJ76" si="35">F75+I75+L75+R75+U75+X75+AG75</f>
        <v>4857</v>
      </c>
      <c r="AK75" s="309">
        <f>F75+I75+L75+R75+U75+X75+AG75</f>
        <v>4857</v>
      </c>
      <c r="AL75" s="309">
        <f>G75+J75+M75+S75+V75+Y75+AH75</f>
        <v>3388.4810000000002</v>
      </c>
      <c r="AM75" s="321">
        <f t="shared" ref="AM75:AM86" si="36">AL75/AK75</f>
        <v>0.69764896026353718</v>
      </c>
    </row>
    <row r="76" spans="1:39" x14ac:dyDescent="0.25">
      <c r="A76" s="284">
        <v>73</v>
      </c>
      <c r="B76" s="284"/>
      <c r="C76" s="284" t="s">
        <v>213</v>
      </c>
      <c r="D76" s="307" t="s">
        <v>239</v>
      </c>
      <c r="E76" s="308">
        <v>27581</v>
      </c>
      <c r="F76" s="308">
        <v>27581</v>
      </c>
      <c r="G76" s="308">
        <v>20892.186000000002</v>
      </c>
      <c r="H76" s="308"/>
      <c r="I76" s="308"/>
      <c r="J76" s="308"/>
      <c r="K76" s="308"/>
      <c r="L76" s="308"/>
      <c r="M76" s="308"/>
      <c r="N76" s="308"/>
      <c r="O76" s="308"/>
      <c r="P76" s="308"/>
      <c r="Q76" s="308">
        <v>966</v>
      </c>
      <c r="R76" s="308">
        <v>966</v>
      </c>
      <c r="S76" s="308">
        <v>946.28499999999997</v>
      </c>
      <c r="T76" s="308"/>
      <c r="U76" s="308"/>
      <c r="V76" s="308"/>
      <c r="W76" s="308"/>
      <c r="X76" s="308"/>
      <c r="Y76" s="308"/>
      <c r="Z76" s="308"/>
      <c r="AA76" s="308"/>
      <c r="AB76" s="308"/>
      <c r="AC76" s="308"/>
      <c r="AD76" s="308"/>
      <c r="AE76" s="308"/>
      <c r="AF76" s="308"/>
      <c r="AG76" s="308">
        <v>483.49900000000002</v>
      </c>
      <c r="AH76" s="308">
        <v>483.49900000000002</v>
      </c>
      <c r="AI76" s="309">
        <f>E76+H76+K76+Q76+T76+W76+AF76</f>
        <v>28547</v>
      </c>
      <c r="AJ76" s="309">
        <f t="shared" si="35"/>
        <v>29030.499</v>
      </c>
      <c r="AK76" s="309">
        <f>F76+I76+L76+R76+U76+X76+AG76</f>
        <v>29030.499</v>
      </c>
      <c r="AL76" s="309">
        <f>G76+J76+M76+S76+V76+Y76+AH76</f>
        <v>22321.97</v>
      </c>
      <c r="AM76" s="321">
        <f t="shared" si="36"/>
        <v>0.76891444408172249</v>
      </c>
    </row>
    <row r="77" spans="1:39" s="292" customFormat="1" x14ac:dyDescent="0.25">
      <c r="A77" s="284">
        <v>74</v>
      </c>
      <c r="B77" s="284"/>
      <c r="C77" s="287"/>
      <c r="D77" s="304" t="s">
        <v>344</v>
      </c>
      <c r="E77" s="305">
        <f>SUM(E78:E79)</f>
        <v>5235.1000000000004</v>
      </c>
      <c r="F77" s="305">
        <f t="shared" ref="F77:V77" si="37">SUM(F78:F79)</f>
        <v>5235.1000000000004</v>
      </c>
      <c r="G77" s="305">
        <f t="shared" si="37"/>
        <v>3291.9949999999999</v>
      </c>
      <c r="H77" s="305">
        <f t="shared" si="37"/>
        <v>0</v>
      </c>
      <c r="I77" s="305">
        <f t="shared" si="37"/>
        <v>0</v>
      </c>
      <c r="J77" s="305">
        <f t="shared" si="37"/>
        <v>0</v>
      </c>
      <c r="K77" s="305">
        <f t="shared" si="37"/>
        <v>0</v>
      </c>
      <c r="L77" s="305">
        <f t="shared" si="37"/>
        <v>0</v>
      </c>
      <c r="M77" s="305">
        <f t="shared" si="37"/>
        <v>0</v>
      </c>
      <c r="N77" s="305">
        <f t="shared" si="37"/>
        <v>0</v>
      </c>
      <c r="O77" s="305">
        <f t="shared" si="37"/>
        <v>0</v>
      </c>
      <c r="P77" s="305">
        <f t="shared" si="37"/>
        <v>0</v>
      </c>
      <c r="Q77" s="305">
        <f t="shared" si="37"/>
        <v>17162</v>
      </c>
      <c r="R77" s="305">
        <f t="shared" si="37"/>
        <v>17410.2</v>
      </c>
      <c r="S77" s="305">
        <f t="shared" si="37"/>
        <v>18038.804</v>
      </c>
      <c r="T77" s="305">
        <f t="shared" si="37"/>
        <v>0</v>
      </c>
      <c r="U77" s="305">
        <f t="shared" si="37"/>
        <v>0</v>
      </c>
      <c r="V77" s="305">
        <f t="shared" si="37"/>
        <v>0</v>
      </c>
      <c r="W77" s="305">
        <f t="shared" ref="W77:AJ77" si="38">SUM(W78:W79)</f>
        <v>210</v>
      </c>
      <c r="X77" s="305">
        <f t="shared" si="38"/>
        <v>210</v>
      </c>
      <c r="Y77" s="305">
        <f t="shared" si="38"/>
        <v>258</v>
      </c>
      <c r="Z77" s="305">
        <f t="shared" si="38"/>
        <v>0</v>
      </c>
      <c r="AA77" s="305">
        <f t="shared" si="38"/>
        <v>0</v>
      </c>
      <c r="AB77" s="305">
        <f t="shared" si="38"/>
        <v>0</v>
      </c>
      <c r="AC77" s="305">
        <f t="shared" si="38"/>
        <v>0</v>
      </c>
      <c r="AD77" s="305">
        <f t="shared" si="38"/>
        <v>0</v>
      </c>
      <c r="AE77" s="305">
        <f t="shared" si="38"/>
        <v>0</v>
      </c>
      <c r="AF77" s="305">
        <f t="shared" si="38"/>
        <v>0</v>
      </c>
      <c r="AG77" s="305">
        <f t="shared" si="38"/>
        <v>8.4</v>
      </c>
      <c r="AH77" s="305">
        <f t="shared" si="38"/>
        <v>8.4</v>
      </c>
      <c r="AI77" s="305">
        <f>SUM(AI78:AI79)</f>
        <v>22607.1</v>
      </c>
      <c r="AJ77" s="305">
        <f t="shared" si="38"/>
        <v>22863.7</v>
      </c>
      <c r="AK77" s="305">
        <f>SUM(AK78:AK79)</f>
        <v>22863.7</v>
      </c>
      <c r="AL77" s="305">
        <f t="shared" ref="AL77" si="39">SUM(AL78:AL79)</f>
        <v>21597.199000000004</v>
      </c>
      <c r="AM77" s="321">
        <f t="shared" si="36"/>
        <v>0.94460647226826822</v>
      </c>
    </row>
    <row r="78" spans="1:39" x14ac:dyDescent="0.25">
      <c r="A78" s="284">
        <v>75</v>
      </c>
      <c r="B78" s="284"/>
      <c r="C78" s="284" t="s">
        <v>207</v>
      </c>
      <c r="D78" s="307" t="s">
        <v>238</v>
      </c>
      <c r="E78" s="308">
        <v>1330.1</v>
      </c>
      <c r="F78" s="308">
        <v>1330.1</v>
      </c>
      <c r="G78" s="308">
        <v>726.48599999999999</v>
      </c>
      <c r="H78" s="308"/>
      <c r="I78" s="308"/>
      <c r="J78" s="308"/>
      <c r="K78" s="308"/>
      <c r="L78" s="308"/>
      <c r="M78" s="308"/>
      <c r="N78" s="308"/>
      <c r="O78" s="308"/>
      <c r="P78" s="308"/>
      <c r="Q78" s="308">
        <v>2004</v>
      </c>
      <c r="R78" s="308">
        <v>2252.1999999999998</v>
      </c>
      <c r="S78" s="308">
        <v>1197.0319999999999</v>
      </c>
      <c r="T78" s="308"/>
      <c r="U78" s="308"/>
      <c r="V78" s="308"/>
      <c r="W78" s="308"/>
      <c r="X78" s="308"/>
      <c r="Y78" s="308"/>
      <c r="Z78" s="308"/>
      <c r="AA78" s="308"/>
      <c r="AB78" s="308"/>
      <c r="AC78" s="308"/>
      <c r="AD78" s="308"/>
      <c r="AE78" s="308"/>
      <c r="AF78" s="308"/>
      <c r="AG78" s="308">
        <v>8.4</v>
      </c>
      <c r="AH78" s="308">
        <v>8.4</v>
      </c>
      <c r="AI78" s="309">
        <f>E78+H78+K78+Q78+T78+W78+AF78</f>
        <v>3334.1</v>
      </c>
      <c r="AJ78" s="309">
        <f t="shared" ref="AJ78" si="40">F78+I78+L78+R78+U78+X78+AG78</f>
        <v>3590.7</v>
      </c>
      <c r="AK78" s="309">
        <f>F78+I78+L78+O78+R78+X78+AG78</f>
        <v>3590.7</v>
      </c>
      <c r="AL78" s="309">
        <f>G78+AH78+S78</f>
        <v>1931.9179999999999</v>
      </c>
      <c r="AM78" s="321">
        <f t="shared" si="36"/>
        <v>0.53803380956359481</v>
      </c>
    </row>
    <row r="79" spans="1:39" x14ac:dyDescent="0.25">
      <c r="A79" s="284">
        <v>76</v>
      </c>
      <c r="B79" s="284"/>
      <c r="C79" s="284" t="s">
        <v>213</v>
      </c>
      <c r="D79" s="307" t="s">
        <v>239</v>
      </c>
      <c r="E79" s="308">
        <v>3905</v>
      </c>
      <c r="F79" s="308">
        <v>3905</v>
      </c>
      <c r="G79" s="308">
        <v>2565.509</v>
      </c>
      <c r="H79" s="308"/>
      <c r="I79" s="308"/>
      <c r="J79" s="308"/>
      <c r="K79" s="308"/>
      <c r="L79" s="308"/>
      <c r="M79" s="308"/>
      <c r="N79" s="308"/>
      <c r="O79" s="308"/>
      <c r="P79" s="308"/>
      <c r="Q79" s="308">
        <v>15158</v>
      </c>
      <c r="R79" s="308">
        <v>15158</v>
      </c>
      <c r="S79" s="308">
        <v>16841.772000000001</v>
      </c>
      <c r="T79" s="308"/>
      <c r="U79" s="308"/>
      <c r="V79" s="308"/>
      <c r="W79" s="308">
        <v>210</v>
      </c>
      <c r="X79" s="308">
        <v>210</v>
      </c>
      <c r="Y79" s="308">
        <v>258</v>
      </c>
      <c r="Z79" s="308"/>
      <c r="AA79" s="308"/>
      <c r="AB79" s="308"/>
      <c r="AC79" s="308"/>
      <c r="AD79" s="308"/>
      <c r="AE79" s="308"/>
      <c r="AF79" s="308"/>
      <c r="AG79" s="308"/>
      <c r="AH79" s="308"/>
      <c r="AI79" s="309">
        <f>E79+H79+K79+Q79+T79+W79+AF79</f>
        <v>19273</v>
      </c>
      <c r="AJ79" s="309">
        <f>F79+I79+L79+R79+U79+X79+AG79</f>
        <v>19273</v>
      </c>
      <c r="AK79" s="309">
        <f>F79+I79+L79+R79+U79+X79+AG79</f>
        <v>19273</v>
      </c>
      <c r="AL79" s="309">
        <f>G79+J79+M79+S79+V79+Y79+AH79</f>
        <v>19665.281000000003</v>
      </c>
      <c r="AM79" s="321">
        <f t="shared" si="36"/>
        <v>1.0203539148030925</v>
      </c>
    </row>
    <row r="80" spans="1:39" x14ac:dyDescent="0.25">
      <c r="A80" s="284">
        <v>77</v>
      </c>
      <c r="B80" s="284"/>
      <c r="C80" s="284"/>
      <c r="D80" s="307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  <c r="AC80" s="308"/>
      <c r="AD80" s="308"/>
      <c r="AE80" s="308"/>
      <c r="AF80" s="308"/>
      <c r="AG80" s="308"/>
      <c r="AH80" s="308"/>
      <c r="AI80" s="309"/>
      <c r="AJ80" s="310"/>
      <c r="AK80" s="311"/>
      <c r="AL80" s="306"/>
      <c r="AM80" s="321"/>
    </row>
    <row r="81" spans="1:39" s="292" customFormat="1" ht="15.75" x14ac:dyDescent="0.25">
      <c r="A81" s="284">
        <v>78</v>
      </c>
      <c r="B81" s="284"/>
      <c r="C81" s="287"/>
      <c r="D81" s="286" t="s">
        <v>242</v>
      </c>
      <c r="E81" s="305">
        <f>E67+E71+E74+E63+E77</f>
        <v>61573.299999999996</v>
      </c>
      <c r="F81" s="305">
        <f t="shared" ref="F81:AJ81" si="41">F67+F71+F74+F63+F77</f>
        <v>61573.299999999996</v>
      </c>
      <c r="G81" s="305">
        <f t="shared" si="41"/>
        <v>51840.121000000006</v>
      </c>
      <c r="H81" s="305">
        <f t="shared" si="41"/>
        <v>102821</v>
      </c>
      <c r="I81" s="305">
        <f t="shared" si="41"/>
        <v>102821</v>
      </c>
      <c r="J81" s="305">
        <f t="shared" si="41"/>
        <v>101376.80799999999</v>
      </c>
      <c r="K81" s="305">
        <f t="shared" si="41"/>
        <v>299157.57900000003</v>
      </c>
      <c r="L81" s="305">
        <f t="shared" si="41"/>
        <v>315078.84200000006</v>
      </c>
      <c r="M81" s="305">
        <f t="shared" si="41"/>
        <v>239256.802</v>
      </c>
      <c r="N81" s="305">
        <f t="shared" si="41"/>
        <v>15000</v>
      </c>
      <c r="O81" s="305">
        <f t="shared" si="41"/>
        <v>15000</v>
      </c>
      <c r="P81" s="305">
        <f t="shared" si="41"/>
        <v>15000</v>
      </c>
      <c r="Q81" s="305">
        <f t="shared" si="41"/>
        <v>148870</v>
      </c>
      <c r="R81" s="305">
        <f t="shared" si="41"/>
        <v>175018.09900000002</v>
      </c>
      <c r="S81" s="305">
        <f t="shared" si="41"/>
        <v>146069.74600000001</v>
      </c>
      <c r="T81" s="305">
        <f t="shared" si="41"/>
        <v>307909</v>
      </c>
      <c r="U81" s="305">
        <f t="shared" si="41"/>
        <v>298129.05499999999</v>
      </c>
      <c r="V81" s="305">
        <f t="shared" si="41"/>
        <v>207109.965</v>
      </c>
      <c r="W81" s="305">
        <f t="shared" si="41"/>
        <v>210</v>
      </c>
      <c r="X81" s="305">
        <f t="shared" si="41"/>
        <v>210</v>
      </c>
      <c r="Y81" s="305">
        <f t="shared" si="41"/>
        <v>258</v>
      </c>
      <c r="Z81" s="305">
        <f t="shared" si="41"/>
        <v>0</v>
      </c>
      <c r="AA81" s="305">
        <f t="shared" si="41"/>
        <v>0</v>
      </c>
      <c r="AB81" s="305">
        <f t="shared" si="41"/>
        <v>0</v>
      </c>
      <c r="AC81" s="305">
        <f t="shared" si="41"/>
        <v>0</v>
      </c>
      <c r="AD81" s="305">
        <f t="shared" si="41"/>
        <v>0</v>
      </c>
      <c r="AE81" s="305">
        <f t="shared" si="41"/>
        <v>0</v>
      </c>
      <c r="AF81" s="305">
        <f t="shared" si="41"/>
        <v>457973.75299999997</v>
      </c>
      <c r="AG81" s="305">
        <f t="shared" si="41"/>
        <v>464614.65600000002</v>
      </c>
      <c r="AH81" s="305">
        <f t="shared" si="41"/>
        <v>464614.65600000002</v>
      </c>
      <c r="AI81" s="305">
        <f t="shared" si="41"/>
        <v>1393514.6320000002</v>
      </c>
      <c r="AJ81" s="305">
        <f t="shared" si="41"/>
        <v>1276675.827</v>
      </c>
      <c r="AK81" s="305">
        <f>AK67+AK71+AK74+AK63+AK77</f>
        <v>1432444.952</v>
      </c>
      <c r="AL81" s="305">
        <f>AL67+AL71+AL74+AL63+AL77</f>
        <v>1225526.098</v>
      </c>
      <c r="AM81" s="321">
        <f t="shared" si="36"/>
        <v>0.85554847764928277</v>
      </c>
    </row>
    <row r="82" spans="1:39" s="292" customFormat="1" ht="15.75" x14ac:dyDescent="0.25">
      <c r="A82" s="284">
        <v>79</v>
      </c>
      <c r="B82" s="284"/>
      <c r="C82" s="287"/>
      <c r="D82" s="286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3"/>
      <c r="AK82" s="314"/>
      <c r="AL82" s="306"/>
      <c r="AM82" s="321"/>
    </row>
    <row r="83" spans="1:39" x14ac:dyDescent="0.25">
      <c r="A83" s="284">
        <v>80</v>
      </c>
      <c r="B83" s="284"/>
      <c r="C83" s="296"/>
      <c r="D83" s="296" t="s">
        <v>243</v>
      </c>
      <c r="E83" s="303">
        <f>E64+E68+E72+E75+E78</f>
        <v>27587.299999999996</v>
      </c>
      <c r="F83" s="303">
        <f>F64+F68+F72+F75+F78</f>
        <v>27587.299999999996</v>
      </c>
      <c r="G83" s="303">
        <f>G64+G68+G72+G75+G78</f>
        <v>26455.577000000001</v>
      </c>
      <c r="H83" s="303">
        <f t="shared" ref="H83:W83" si="42">H64+H68+H72+H75+H78</f>
        <v>102821</v>
      </c>
      <c r="I83" s="303">
        <f t="shared" ref="I83:J83" si="43">I64+I68+I72+I75+I78</f>
        <v>102821</v>
      </c>
      <c r="J83" s="303">
        <f t="shared" si="43"/>
        <v>101376.80799999999</v>
      </c>
      <c r="K83" s="303">
        <f>K64+K68+K72+K75+K78</f>
        <v>257157.57900000003</v>
      </c>
      <c r="L83" s="303">
        <f>L64+L68+L72+L75+L78</f>
        <v>266786.84200000006</v>
      </c>
      <c r="M83" s="303">
        <f>M64+M68+M72+M75+M78</f>
        <v>203033.69</v>
      </c>
      <c r="N83" s="303">
        <f t="shared" ref="N83" si="44">N64+N68+N72+N75+N78</f>
        <v>0</v>
      </c>
      <c r="O83" s="303">
        <f>O64+O68+O72+O75+O78</f>
        <v>0</v>
      </c>
      <c r="P83" s="303">
        <f t="shared" ref="P83" si="45">P64+P68+P72+P75+P78</f>
        <v>0</v>
      </c>
      <c r="Q83" s="303">
        <f t="shared" si="42"/>
        <v>116377</v>
      </c>
      <c r="R83" s="303">
        <f t="shared" ref="R83:S83" si="46">R64+R68+R72+R75+R78</f>
        <v>117778.599</v>
      </c>
      <c r="S83" s="303">
        <f t="shared" si="46"/>
        <v>87330.159</v>
      </c>
      <c r="T83" s="303">
        <f t="shared" si="42"/>
        <v>0</v>
      </c>
      <c r="U83" s="303">
        <f t="shared" ref="U83:V83" si="47">U64+U68+U72+U75+U78</f>
        <v>0</v>
      </c>
      <c r="V83" s="303">
        <f t="shared" si="47"/>
        <v>0</v>
      </c>
      <c r="W83" s="303">
        <f t="shared" si="42"/>
        <v>0</v>
      </c>
      <c r="X83" s="303">
        <f t="shared" ref="X83:AA83" si="48">X64+X68+X72+X75+X78</f>
        <v>0</v>
      </c>
      <c r="Y83" s="303">
        <f t="shared" ref="Y83" si="49">Y64+Y68+Y72+Y75+Y78</f>
        <v>0</v>
      </c>
      <c r="Z83" s="303">
        <f t="shared" si="48"/>
        <v>0</v>
      </c>
      <c r="AA83" s="303">
        <f t="shared" si="48"/>
        <v>0</v>
      </c>
      <c r="AB83" s="303">
        <f t="shared" ref="AB83:AE83" si="50">AB64+AB68+AB72+AB75+AB78</f>
        <v>0</v>
      </c>
      <c r="AC83" s="303">
        <f t="shared" si="50"/>
        <v>0</v>
      </c>
      <c r="AD83" s="303">
        <f t="shared" si="50"/>
        <v>0</v>
      </c>
      <c r="AE83" s="303">
        <f t="shared" si="50"/>
        <v>0</v>
      </c>
      <c r="AF83" s="303">
        <f>AF64+AF68+AF72+AF75+AF78</f>
        <v>22555.454000000002</v>
      </c>
      <c r="AG83" s="303">
        <f>AG64+AG68+AG72+AG75+AG78</f>
        <v>28212.969000000001</v>
      </c>
      <c r="AH83" s="303">
        <f>AH64+AH68+AH72+AH75+AH78</f>
        <v>28212.969000000001</v>
      </c>
      <c r="AI83" s="303">
        <f>AI64+AI68+AI72+AI75+AI78</f>
        <v>526498.33299999998</v>
      </c>
      <c r="AJ83" s="303">
        <f t="shared" ref="AJ83" si="51">AJ64+AJ68+AJ72+AJ75+AJ78</f>
        <v>543186.71</v>
      </c>
      <c r="AK83" s="303">
        <f>AK64+AK68+AK72+AK75+AK78</f>
        <v>543186.71</v>
      </c>
      <c r="AL83" s="303">
        <f>AL64+AL68+AL72+AL75+AL78</f>
        <v>446409.20299999998</v>
      </c>
      <c r="AM83" s="321">
        <f t="shared" si="36"/>
        <v>0.82183380922556082</v>
      </c>
    </row>
    <row r="84" spans="1:39" x14ac:dyDescent="0.25">
      <c r="A84" s="284">
        <v>81</v>
      </c>
      <c r="B84" s="284"/>
      <c r="C84" s="296"/>
      <c r="D84" s="296" t="s">
        <v>244</v>
      </c>
      <c r="E84" s="303">
        <f>E66+E69+E73+E76+E79</f>
        <v>33986</v>
      </c>
      <c r="F84" s="303">
        <f>F66+F69+F73+F76+F79</f>
        <v>33986</v>
      </c>
      <c r="G84" s="303">
        <f>G66+G69+G73+G76+G79</f>
        <v>25384.544000000002</v>
      </c>
      <c r="H84" s="303">
        <f t="shared" ref="H84:AI84" si="52">H66+H69+H73+H76+H79</f>
        <v>0</v>
      </c>
      <c r="I84" s="303">
        <f t="shared" ref="I84:J84" si="53">I66+I69+I73+I76+I79</f>
        <v>0</v>
      </c>
      <c r="J84" s="303">
        <f t="shared" si="53"/>
        <v>0</v>
      </c>
      <c r="K84" s="303">
        <f>K66+K69+K73+K76+K79</f>
        <v>34830</v>
      </c>
      <c r="L84" s="303">
        <f>L66+L69+L73+L76+L79</f>
        <v>41122</v>
      </c>
      <c r="M84" s="303">
        <f>M66+M69+M73+M76+M79</f>
        <v>30845.612000000001</v>
      </c>
      <c r="N84" s="303">
        <f t="shared" ref="N84:O84" si="54">N66+N69+N73+N76+N79</f>
        <v>15000</v>
      </c>
      <c r="O84" s="303">
        <f t="shared" si="54"/>
        <v>15000</v>
      </c>
      <c r="P84" s="303">
        <f>P66+P69+P73+P76+P79</f>
        <v>15000</v>
      </c>
      <c r="Q84" s="303">
        <f t="shared" si="52"/>
        <v>32493</v>
      </c>
      <c r="R84" s="303">
        <f t="shared" ref="R84:S84" si="55">R66+R69+R73+R76+R79</f>
        <v>57239.5</v>
      </c>
      <c r="S84" s="303">
        <f t="shared" si="55"/>
        <v>58739.587</v>
      </c>
      <c r="T84" s="303">
        <f t="shared" si="52"/>
        <v>307909</v>
      </c>
      <c r="U84" s="303">
        <f t="shared" ref="U84:V84" si="56">U66+U69+U73+U76+U79</f>
        <v>298129.05499999999</v>
      </c>
      <c r="V84" s="303">
        <f t="shared" si="56"/>
        <v>207109.965</v>
      </c>
      <c r="W84" s="303">
        <f t="shared" si="52"/>
        <v>210</v>
      </c>
      <c r="X84" s="303">
        <f t="shared" ref="X84:AA84" si="57">X66+X69+X73+X76+X79</f>
        <v>210</v>
      </c>
      <c r="Y84" s="303">
        <f t="shared" ref="Y84" si="58">Y66+Y69+Y73+Y76+Y79</f>
        <v>258</v>
      </c>
      <c r="Z84" s="303">
        <f t="shared" si="57"/>
        <v>0</v>
      </c>
      <c r="AA84" s="303">
        <f t="shared" si="57"/>
        <v>0</v>
      </c>
      <c r="AB84" s="303">
        <f t="shared" ref="AB84:AE84" si="59">AB66+AB69+AB73+AB76+AB79</f>
        <v>0</v>
      </c>
      <c r="AC84" s="303">
        <f t="shared" si="59"/>
        <v>0</v>
      </c>
      <c r="AD84" s="303">
        <f t="shared" si="59"/>
        <v>0</v>
      </c>
      <c r="AE84" s="303">
        <f t="shared" si="59"/>
        <v>0</v>
      </c>
      <c r="AF84" s="303">
        <f>AF66</f>
        <v>435418.299</v>
      </c>
      <c r="AG84" s="303">
        <f>AG66+AG76</f>
        <v>436401.68699999998</v>
      </c>
      <c r="AH84" s="303">
        <f>AH66+AH76</f>
        <v>436401.68699999998</v>
      </c>
      <c r="AI84" s="303">
        <f t="shared" si="52"/>
        <v>859846.299</v>
      </c>
      <c r="AJ84" s="303">
        <f t="shared" ref="AJ84" si="60">AJ66+AJ69+AJ73+AJ76+AJ79</f>
        <v>832712.16700000002</v>
      </c>
      <c r="AK84" s="303">
        <f>AK66+AK69+AK73+AK76+AK79</f>
        <v>882088.24199999997</v>
      </c>
      <c r="AL84" s="303">
        <f>AL66+AL69+AL73+AL76+AL79</f>
        <v>773739.3949999999</v>
      </c>
      <c r="AM84" s="321">
        <f t="shared" si="36"/>
        <v>0.8771677913375926</v>
      </c>
    </row>
    <row r="85" spans="1:39" x14ac:dyDescent="0.25">
      <c r="A85" s="284">
        <v>82</v>
      </c>
      <c r="B85" s="284"/>
      <c r="C85" s="296"/>
      <c r="D85" s="296" t="s">
        <v>349</v>
      </c>
      <c r="E85" s="303">
        <f>E70</f>
        <v>0</v>
      </c>
      <c r="F85" s="303">
        <f>F70</f>
        <v>0</v>
      </c>
      <c r="G85" s="303">
        <f>G70</f>
        <v>0</v>
      </c>
      <c r="H85" s="303">
        <f t="shared" ref="H85:AF85" si="61">H70</f>
        <v>0</v>
      </c>
      <c r="I85" s="303">
        <f t="shared" ref="I85:J85" si="62">I70</f>
        <v>0</v>
      </c>
      <c r="J85" s="303">
        <f t="shared" si="62"/>
        <v>0</v>
      </c>
      <c r="K85" s="303">
        <f>K70+K65</f>
        <v>7170</v>
      </c>
      <c r="L85" s="303">
        <f>L70+L65</f>
        <v>7170</v>
      </c>
      <c r="M85" s="303">
        <f>M70+M65</f>
        <v>5377.5</v>
      </c>
      <c r="N85" s="303">
        <f t="shared" ref="N85:O85" si="63">N70+N65</f>
        <v>0</v>
      </c>
      <c r="O85" s="303">
        <f t="shared" si="63"/>
        <v>0</v>
      </c>
      <c r="P85" s="303">
        <f t="shared" ref="P85" si="64">P70+P65</f>
        <v>0</v>
      </c>
      <c r="Q85" s="303">
        <f t="shared" si="61"/>
        <v>0</v>
      </c>
      <c r="R85" s="303">
        <f t="shared" ref="R85:S85" si="65">R70</f>
        <v>0</v>
      </c>
      <c r="S85" s="303">
        <f t="shared" si="65"/>
        <v>0</v>
      </c>
      <c r="T85" s="303">
        <f t="shared" si="61"/>
        <v>0</v>
      </c>
      <c r="U85" s="303">
        <f t="shared" ref="U85:V85" si="66">U70</f>
        <v>0</v>
      </c>
      <c r="V85" s="303">
        <f t="shared" si="66"/>
        <v>0</v>
      </c>
      <c r="W85" s="303">
        <f t="shared" si="61"/>
        <v>0</v>
      </c>
      <c r="X85" s="303">
        <f t="shared" ref="X85:AA85" si="67">X70</f>
        <v>0</v>
      </c>
      <c r="Y85" s="303">
        <f t="shared" ref="Y85" si="68">Y70</f>
        <v>0</v>
      </c>
      <c r="Z85" s="303">
        <f t="shared" si="67"/>
        <v>0</v>
      </c>
      <c r="AA85" s="303">
        <f t="shared" si="67"/>
        <v>0</v>
      </c>
      <c r="AB85" s="303">
        <f t="shared" ref="AB85:AE85" si="69">AB70</f>
        <v>0</v>
      </c>
      <c r="AC85" s="303">
        <f t="shared" si="69"/>
        <v>0</v>
      </c>
      <c r="AD85" s="303">
        <f t="shared" si="69"/>
        <v>0</v>
      </c>
      <c r="AE85" s="303">
        <f t="shared" si="69"/>
        <v>0</v>
      </c>
      <c r="AF85" s="303">
        <f t="shared" si="61"/>
        <v>0</v>
      </c>
      <c r="AG85" s="303">
        <f t="shared" ref="AG85:AH85" si="70">AG70</f>
        <v>0</v>
      </c>
      <c r="AH85" s="303">
        <f t="shared" si="70"/>
        <v>0</v>
      </c>
      <c r="AI85" s="303">
        <f>AI70+AI65</f>
        <v>7170</v>
      </c>
      <c r="AJ85" s="303">
        <f t="shared" ref="AJ85" si="71">AJ70+AJ65</f>
        <v>5525</v>
      </c>
      <c r="AK85" s="303">
        <f>AK70+AK65</f>
        <v>7170</v>
      </c>
      <c r="AL85" s="303">
        <f>AL70+AL65</f>
        <v>5377.5</v>
      </c>
      <c r="AM85" s="321">
        <f t="shared" si="36"/>
        <v>0.75</v>
      </c>
    </row>
    <row r="86" spans="1:39" s="292" customFormat="1" x14ac:dyDescent="0.25">
      <c r="A86" s="284">
        <v>83</v>
      </c>
      <c r="B86" s="284"/>
      <c r="C86" s="315"/>
      <c r="D86" s="315" t="s">
        <v>245</v>
      </c>
      <c r="E86" s="316">
        <f>SUM(E83:E84)</f>
        <v>61573.299999999996</v>
      </c>
      <c r="F86" s="316">
        <f>SUM(F83:F84)</f>
        <v>61573.299999999996</v>
      </c>
      <c r="G86" s="530">
        <f>SUM(G83:G84)</f>
        <v>51840.120999999999</v>
      </c>
      <c r="H86" s="316">
        <f t="shared" ref="H86:AF86" si="72">SUM(H83:H84)</f>
        <v>102821</v>
      </c>
      <c r="I86" s="316">
        <f t="shared" ref="I86:J86" si="73">SUM(I83:I84)</f>
        <v>102821</v>
      </c>
      <c r="J86" s="530">
        <f t="shared" si="73"/>
        <v>101376.80799999999</v>
      </c>
      <c r="K86" s="316">
        <f>SUM(K83:K85)</f>
        <v>299157.57900000003</v>
      </c>
      <c r="L86" s="316">
        <f>SUM(L83:L85)</f>
        <v>315078.84200000006</v>
      </c>
      <c r="M86" s="530">
        <f>SUM(M83:M85)</f>
        <v>239256.802</v>
      </c>
      <c r="N86" s="316">
        <f t="shared" ref="N86:O86" si="74">SUM(N83:N85)</f>
        <v>15000</v>
      </c>
      <c r="O86" s="316">
        <f t="shared" si="74"/>
        <v>15000</v>
      </c>
      <c r="P86" s="530">
        <f t="shared" ref="P86" si="75">SUM(P83:P85)</f>
        <v>15000</v>
      </c>
      <c r="Q86" s="316">
        <f t="shared" si="72"/>
        <v>148870</v>
      </c>
      <c r="R86" s="316">
        <f t="shared" ref="R86" si="76">SUM(R83:R84)</f>
        <v>175018.09899999999</v>
      </c>
      <c r="S86" s="530">
        <f>SUM(S83:S84)</f>
        <v>146069.74599999998</v>
      </c>
      <c r="T86" s="316">
        <f t="shared" si="72"/>
        <v>307909</v>
      </c>
      <c r="U86" s="316">
        <f t="shared" ref="U86:V86" si="77">SUM(U83:U84)</f>
        <v>298129.05499999999</v>
      </c>
      <c r="V86" s="530">
        <f t="shared" si="77"/>
        <v>207109.965</v>
      </c>
      <c r="W86" s="316">
        <f t="shared" si="72"/>
        <v>210</v>
      </c>
      <c r="X86" s="316">
        <f t="shared" ref="X86:AA86" si="78">SUM(X83:X84)</f>
        <v>210</v>
      </c>
      <c r="Y86" s="530">
        <f t="shared" ref="Y86" si="79">SUM(Y83:Y84)</f>
        <v>258</v>
      </c>
      <c r="Z86" s="316">
        <f t="shared" si="78"/>
        <v>0</v>
      </c>
      <c r="AA86" s="316">
        <f t="shared" si="78"/>
        <v>0</v>
      </c>
      <c r="AB86" s="316">
        <f t="shared" ref="AB86:AE86" si="80">SUM(AB83:AB84)</f>
        <v>0</v>
      </c>
      <c r="AC86" s="316">
        <f t="shared" si="80"/>
        <v>0</v>
      </c>
      <c r="AD86" s="316">
        <f t="shared" si="80"/>
        <v>0</v>
      </c>
      <c r="AE86" s="316">
        <f t="shared" si="80"/>
        <v>0</v>
      </c>
      <c r="AF86" s="316">
        <f t="shared" si="72"/>
        <v>457973.75300000003</v>
      </c>
      <c r="AG86" s="316">
        <f t="shared" ref="AG86:AH86" si="81">SUM(AG83:AG84)</f>
        <v>464614.65599999996</v>
      </c>
      <c r="AH86" s="530">
        <f t="shared" si="81"/>
        <v>464614.65599999996</v>
      </c>
      <c r="AI86" s="316">
        <f>SUM(AI83:AI85)</f>
        <v>1393514.632</v>
      </c>
      <c r="AJ86" s="316">
        <f t="shared" ref="AJ86" si="82">SUM(AJ83:AJ85)</f>
        <v>1381423.8769999999</v>
      </c>
      <c r="AK86" s="316">
        <f>SUM(AK83:AK85)</f>
        <v>1432444.952</v>
      </c>
      <c r="AL86" s="316">
        <f>SUM(AL83:AL85)</f>
        <v>1225526.0979999998</v>
      </c>
      <c r="AM86" s="321">
        <f t="shared" si="36"/>
        <v>0.85554847764928266</v>
      </c>
    </row>
    <row r="89" spans="1:39" x14ac:dyDescent="0.25">
      <c r="T89" s="283" t="s">
        <v>246</v>
      </c>
      <c r="W89" s="283">
        <v>26133.054</v>
      </c>
    </row>
    <row r="90" spans="1:39" x14ac:dyDescent="0.25">
      <c r="T90" s="283" t="s">
        <v>303</v>
      </c>
      <c r="W90" s="283">
        <v>6483.085</v>
      </c>
    </row>
    <row r="91" spans="1:39" x14ac:dyDescent="0.25">
      <c r="T91" s="283" t="s">
        <v>247</v>
      </c>
      <c r="W91" s="283">
        <v>87742.762000000002</v>
      </c>
    </row>
    <row r="92" spans="1:39" x14ac:dyDescent="0.25">
      <c r="T92" s="283" t="s">
        <v>312</v>
      </c>
      <c r="W92" s="283">
        <f>SUM(W89:W91)</f>
        <v>120358.901</v>
      </c>
    </row>
    <row r="93" spans="1:39" x14ac:dyDescent="0.25">
      <c r="T93" s="283" t="s">
        <v>408</v>
      </c>
      <c r="W93" s="283">
        <v>10610.254000000001</v>
      </c>
    </row>
  </sheetData>
  <mergeCells count="13">
    <mergeCell ref="W1:AI1"/>
    <mergeCell ref="E3:G3"/>
    <mergeCell ref="H3:J3"/>
    <mergeCell ref="K3:M3"/>
    <mergeCell ref="N3:P3"/>
    <mergeCell ref="AC3:AE3"/>
    <mergeCell ref="AI3:AM3"/>
    <mergeCell ref="D2:AM2"/>
    <mergeCell ref="Q3:S3"/>
    <mergeCell ref="T3:V3"/>
    <mergeCell ref="W3:Y3"/>
    <mergeCell ref="Z3:AB3"/>
    <mergeCell ref="AF3:AH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0"/>
  <sheetViews>
    <sheetView view="pageBreakPreview" zoomScaleNormal="100" zoomScaleSheetLayoutView="10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AC8" sqref="AC8"/>
    </sheetView>
  </sheetViews>
  <sheetFormatPr defaultRowHeight="15" x14ac:dyDescent="0.25"/>
  <cols>
    <col min="1" max="1" width="6.140625" style="47" customWidth="1"/>
    <col min="2" max="2" width="15.7109375" style="47" customWidth="1"/>
    <col min="3" max="3" width="31.28515625" style="47" bestFit="1" customWidth="1"/>
    <col min="4" max="4" width="9.28515625" style="47" bestFit="1" customWidth="1"/>
    <col min="5" max="5" width="8.42578125" style="47" bestFit="1" customWidth="1"/>
    <col min="6" max="6" width="9.5703125" style="47" bestFit="1" customWidth="1"/>
    <col min="7" max="7" width="9.28515625" style="47" bestFit="1" customWidth="1"/>
    <col min="8" max="8" width="7.140625" style="47" bestFit="1" customWidth="1"/>
    <col min="9" max="9" width="8.5703125" style="47" bestFit="1" customWidth="1"/>
    <col min="10" max="10" width="9.28515625" style="47" bestFit="1" customWidth="1"/>
    <col min="11" max="12" width="10.140625" style="47" bestFit="1" customWidth="1"/>
    <col min="13" max="13" width="9.28515625" style="47" bestFit="1" customWidth="1"/>
    <col min="14" max="15" width="10.140625" style="47" bestFit="1" customWidth="1"/>
    <col min="16" max="16" width="9.28515625" style="47" bestFit="1" customWidth="1"/>
    <col min="17" max="17" width="7.140625" style="47" bestFit="1" customWidth="1"/>
    <col min="18" max="18" width="8.5703125" style="47" bestFit="1" customWidth="1"/>
    <col min="19" max="19" width="9.28515625" style="47" bestFit="1" customWidth="1"/>
    <col min="20" max="20" width="7.140625" style="47" bestFit="1" customWidth="1"/>
    <col min="21" max="21" width="8.5703125" style="47" bestFit="1" customWidth="1"/>
    <col min="22" max="24" width="11.28515625" style="47" bestFit="1" customWidth="1"/>
    <col min="25" max="25" width="9.28515625" style="47" bestFit="1" customWidth="1"/>
    <col min="26" max="26" width="8.42578125" style="47" bestFit="1" customWidth="1"/>
    <col min="27" max="27" width="8.5703125" style="47" bestFit="1" customWidth="1"/>
    <col min="28" max="30" width="11.28515625" style="47" bestFit="1" customWidth="1"/>
    <col min="31" max="31" width="10.140625" style="47" customWidth="1"/>
    <col min="32" max="16384" width="9.140625" style="47"/>
  </cols>
  <sheetData>
    <row r="1" spans="1:31" x14ac:dyDescent="0.25">
      <c r="P1" s="563" t="s">
        <v>409</v>
      </c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</row>
    <row r="2" spans="1:31" ht="54.75" customHeight="1" x14ac:dyDescent="0.25">
      <c r="A2" s="46">
        <v>1</v>
      </c>
      <c r="B2" s="46"/>
      <c r="C2" s="567" t="s">
        <v>541</v>
      </c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9"/>
    </row>
    <row r="3" spans="1:31" ht="81.75" customHeight="1" x14ac:dyDescent="0.25">
      <c r="A3" s="46">
        <v>2</v>
      </c>
      <c r="B3" s="48" t="s">
        <v>198</v>
      </c>
      <c r="C3" s="49" t="s">
        <v>199</v>
      </c>
      <c r="D3" s="564" t="s">
        <v>159</v>
      </c>
      <c r="E3" s="565"/>
      <c r="F3" s="566"/>
      <c r="G3" s="564" t="s">
        <v>158</v>
      </c>
      <c r="H3" s="565"/>
      <c r="I3" s="566"/>
      <c r="J3" s="564" t="s">
        <v>201</v>
      </c>
      <c r="K3" s="565"/>
      <c r="L3" s="566"/>
      <c r="M3" s="564" t="s">
        <v>202</v>
      </c>
      <c r="N3" s="565"/>
      <c r="O3" s="566"/>
      <c r="P3" s="564" t="s">
        <v>203</v>
      </c>
      <c r="Q3" s="565"/>
      <c r="R3" s="566"/>
      <c r="S3" s="564" t="s">
        <v>248</v>
      </c>
      <c r="T3" s="565"/>
      <c r="U3" s="566"/>
      <c r="V3" s="564" t="s">
        <v>249</v>
      </c>
      <c r="W3" s="565"/>
      <c r="X3" s="566"/>
      <c r="Y3" s="564" t="s">
        <v>330</v>
      </c>
      <c r="Z3" s="565"/>
      <c r="AA3" s="566"/>
      <c r="AB3" s="564" t="s">
        <v>205</v>
      </c>
      <c r="AC3" s="565"/>
      <c r="AD3" s="565"/>
      <c r="AE3" s="566"/>
    </row>
    <row r="4" spans="1:31" ht="30" x14ac:dyDescent="0.25">
      <c r="A4" s="236">
        <v>3</v>
      </c>
      <c r="B4" s="236"/>
      <c r="C4" s="237" t="s">
        <v>250</v>
      </c>
      <c r="D4" s="240" t="s">
        <v>410</v>
      </c>
      <c r="E4" s="102" t="s">
        <v>406</v>
      </c>
      <c r="F4" s="102" t="s">
        <v>393</v>
      </c>
      <c r="G4" s="240" t="s">
        <v>410</v>
      </c>
      <c r="H4" s="102" t="s">
        <v>406</v>
      </c>
      <c r="I4" s="102" t="s">
        <v>411</v>
      </c>
      <c r="J4" s="240" t="s">
        <v>410</v>
      </c>
      <c r="K4" s="102" t="s">
        <v>406</v>
      </c>
      <c r="L4" s="102" t="s">
        <v>412</v>
      </c>
      <c r="M4" s="240" t="s">
        <v>413</v>
      </c>
      <c r="N4" s="102" t="s">
        <v>406</v>
      </c>
      <c r="O4" s="102" t="s">
        <v>411</v>
      </c>
      <c r="P4" s="240" t="s">
        <v>410</v>
      </c>
      <c r="Q4" s="102" t="s">
        <v>406</v>
      </c>
      <c r="R4" s="102" t="s">
        <v>414</v>
      </c>
      <c r="S4" s="240" t="s">
        <v>410</v>
      </c>
      <c r="T4" s="102" t="s">
        <v>406</v>
      </c>
      <c r="U4" s="102" t="s">
        <v>414</v>
      </c>
      <c r="V4" s="240" t="s">
        <v>410</v>
      </c>
      <c r="W4" s="102" t="s">
        <v>406</v>
      </c>
      <c r="X4" s="102" t="s">
        <v>411</v>
      </c>
      <c r="Y4" s="240" t="s">
        <v>410</v>
      </c>
      <c r="Z4" s="102" t="s">
        <v>406</v>
      </c>
      <c r="AA4" s="102" t="s">
        <v>411</v>
      </c>
      <c r="AB4" s="240" t="s">
        <v>410</v>
      </c>
      <c r="AC4" s="102" t="s">
        <v>406</v>
      </c>
      <c r="AD4" s="102" t="s">
        <v>402</v>
      </c>
      <c r="AE4" s="102" t="s">
        <v>394</v>
      </c>
    </row>
    <row r="5" spans="1:31" x14ac:dyDescent="0.25">
      <c r="A5" s="46">
        <v>4</v>
      </c>
      <c r="B5" s="46" t="s">
        <v>314</v>
      </c>
      <c r="C5" s="52" t="s">
        <v>305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1">
        <v>7170</v>
      </c>
      <c r="W5" s="151">
        <v>7170</v>
      </c>
      <c r="X5" s="151">
        <v>5377.5</v>
      </c>
      <c r="Y5" s="151"/>
      <c r="Z5" s="151"/>
      <c r="AA5" s="151"/>
      <c r="AB5" s="152">
        <f>D5+G5+J5+M5+P5+V5</f>
        <v>7170</v>
      </c>
      <c r="AC5" s="152">
        <f t="shared" ref="AC5:AD8" si="0">E5+H5+K5+N5+Q5+T5+W5+Z5</f>
        <v>7170</v>
      </c>
      <c r="AD5" s="152">
        <f t="shared" si="0"/>
        <v>5377.5</v>
      </c>
      <c r="AE5" s="266">
        <f>AD5/AC5</f>
        <v>0.75</v>
      </c>
    </row>
    <row r="6" spans="1:31" x14ac:dyDescent="0.25">
      <c r="A6" s="46">
        <v>5</v>
      </c>
      <c r="B6" s="46" t="s">
        <v>207</v>
      </c>
      <c r="C6" s="52" t="s">
        <v>448</v>
      </c>
      <c r="D6" s="150"/>
      <c r="E6" s="150"/>
      <c r="F6" s="150"/>
      <c r="G6" s="150"/>
      <c r="H6" s="150"/>
      <c r="I6" s="150"/>
      <c r="J6" s="150"/>
      <c r="K6" s="150">
        <v>1153.3989999999999</v>
      </c>
      <c r="L6" s="150">
        <v>1165.1579999999999</v>
      </c>
      <c r="M6" s="150"/>
      <c r="N6" s="150"/>
      <c r="O6" s="150"/>
      <c r="P6" s="150"/>
      <c r="Q6" s="150"/>
      <c r="R6" s="150"/>
      <c r="S6" s="150"/>
      <c r="T6" s="150"/>
      <c r="U6" s="150"/>
      <c r="V6" s="151"/>
      <c r="W6" s="151">
        <v>6.601</v>
      </c>
      <c r="X6" s="151">
        <v>70.376999999999995</v>
      </c>
      <c r="Y6" s="151"/>
      <c r="Z6" s="151"/>
      <c r="AA6" s="151"/>
      <c r="AB6" s="152">
        <f>D6+G6+J6+M6+P6+V6</f>
        <v>0</v>
      </c>
      <c r="AC6" s="152">
        <f>E6+H6+K6+N6+Q6+T6+W6+Z6</f>
        <v>1160</v>
      </c>
      <c r="AD6" s="152">
        <f t="shared" si="0"/>
        <v>1235.5349999999999</v>
      </c>
      <c r="AE6" s="266">
        <f>AD6/AC6</f>
        <v>1.0651163793103446</v>
      </c>
    </row>
    <row r="7" spans="1:31" x14ac:dyDescent="0.25">
      <c r="A7" s="236">
        <v>6</v>
      </c>
      <c r="B7" s="46" t="s">
        <v>207</v>
      </c>
      <c r="C7" s="52" t="s">
        <v>252</v>
      </c>
      <c r="D7" s="151">
        <v>338.1</v>
      </c>
      <c r="E7" s="151">
        <v>338.1</v>
      </c>
      <c r="F7" s="151">
        <v>281.505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>
        <v>73200.899999999994</v>
      </c>
      <c r="W7" s="151">
        <v>73432.535999999993</v>
      </c>
      <c r="X7" s="151">
        <v>52785.188000000002</v>
      </c>
      <c r="Y7" s="151"/>
      <c r="Z7" s="151">
        <v>371.66399999999999</v>
      </c>
      <c r="AA7" s="151">
        <v>371.66399999999999</v>
      </c>
      <c r="AB7" s="152">
        <f>D7+G7+J7+M7+P7+V7</f>
        <v>73539</v>
      </c>
      <c r="AC7" s="152">
        <f>E7+H7+K7+N7+Q7+T7+W7+Z7</f>
        <v>74142.3</v>
      </c>
      <c r="AD7" s="152">
        <f t="shared" si="0"/>
        <v>53438.356999999996</v>
      </c>
      <c r="AE7" s="266">
        <f t="shared" ref="AE7:AE10" si="1">AD7/AC7</f>
        <v>0.72075396905680011</v>
      </c>
    </row>
    <row r="8" spans="1:31" ht="15.75" x14ac:dyDescent="0.25">
      <c r="A8" s="46">
        <v>7</v>
      </c>
      <c r="B8" s="46"/>
      <c r="C8" s="50" t="s">
        <v>253</v>
      </c>
      <c r="D8" s="152">
        <f t="shared" ref="D8:AB8" si="2">SUM(D5:D7)</f>
        <v>338.1</v>
      </c>
      <c r="E8" s="152">
        <f>SUM(E5:E7)</f>
        <v>338.1</v>
      </c>
      <c r="F8" s="152">
        <f>SUM(F5:F7)</f>
        <v>281.505</v>
      </c>
      <c r="G8" s="152">
        <f t="shared" si="2"/>
        <v>0</v>
      </c>
      <c r="H8" s="152">
        <f t="shared" ref="H8:I8" si="3">SUM(H5:H7)</f>
        <v>0</v>
      </c>
      <c r="I8" s="152">
        <f t="shared" si="3"/>
        <v>0</v>
      </c>
      <c r="J8" s="152">
        <f t="shared" si="2"/>
        <v>0</v>
      </c>
      <c r="K8" s="152">
        <f t="shared" ref="K8:L8" si="4">SUM(K5:K7)</f>
        <v>1153.3989999999999</v>
      </c>
      <c r="L8" s="152">
        <f t="shared" si="4"/>
        <v>1165.1579999999999</v>
      </c>
      <c r="M8" s="152">
        <f t="shared" si="2"/>
        <v>0</v>
      </c>
      <c r="N8" s="152">
        <f t="shared" ref="N8:O8" si="5">SUM(N5:N7)</f>
        <v>0</v>
      </c>
      <c r="O8" s="152">
        <f t="shared" si="5"/>
        <v>0</v>
      </c>
      <c r="P8" s="152">
        <f t="shared" si="2"/>
        <v>0</v>
      </c>
      <c r="Q8" s="152">
        <f t="shared" ref="Q8:R8" si="6">SUM(Q5:Q7)</f>
        <v>0</v>
      </c>
      <c r="R8" s="152">
        <f t="shared" si="6"/>
        <v>0</v>
      </c>
      <c r="S8" s="152">
        <f t="shared" si="2"/>
        <v>0</v>
      </c>
      <c r="T8" s="152">
        <f t="shared" ref="T8:U8" si="7">SUM(T5:T7)</f>
        <v>0</v>
      </c>
      <c r="U8" s="152">
        <f t="shared" si="7"/>
        <v>0</v>
      </c>
      <c r="V8" s="152">
        <f t="shared" si="2"/>
        <v>80370.899999999994</v>
      </c>
      <c r="W8" s="152">
        <f t="shared" ref="W8:AA8" si="8">SUM(W5:W7)</f>
        <v>80609.136999999988</v>
      </c>
      <c r="X8" s="152">
        <f t="shared" si="8"/>
        <v>58233.065000000002</v>
      </c>
      <c r="Y8" s="152">
        <f t="shared" si="8"/>
        <v>0</v>
      </c>
      <c r="Z8" s="152">
        <f t="shared" si="8"/>
        <v>371.66399999999999</v>
      </c>
      <c r="AA8" s="152">
        <f t="shared" si="8"/>
        <v>371.66399999999999</v>
      </c>
      <c r="AB8" s="152">
        <f t="shared" si="2"/>
        <v>80709</v>
      </c>
      <c r="AC8" s="152">
        <f t="shared" si="0"/>
        <v>82472.299999999988</v>
      </c>
      <c r="AD8" s="152">
        <f t="shared" si="0"/>
        <v>60051.392</v>
      </c>
      <c r="AE8" s="266">
        <f t="shared" si="1"/>
        <v>0.72814013917400155</v>
      </c>
    </row>
    <row r="9" spans="1:31" x14ac:dyDescent="0.25">
      <c r="A9" s="46">
        <v>8</v>
      </c>
      <c r="B9" s="45"/>
      <c r="C9" s="45" t="s">
        <v>254</v>
      </c>
      <c r="D9" s="153">
        <f t="shared" ref="D9:AC9" si="9">SUMIF($B5:$B7,"kötelező",D5:D7)</f>
        <v>338.1</v>
      </c>
      <c r="E9" s="153">
        <f t="shared" ref="E9:F9" si="10">SUMIF($B5:$B7,"kötelező",E5:E7)</f>
        <v>338.1</v>
      </c>
      <c r="F9" s="153">
        <f t="shared" si="10"/>
        <v>281.505</v>
      </c>
      <c r="G9" s="153">
        <f t="shared" si="9"/>
        <v>0</v>
      </c>
      <c r="H9" s="153">
        <f t="shared" ref="H9:I9" si="11">SUMIF($B5:$B7,"kötelező",H5:H7)</f>
        <v>0</v>
      </c>
      <c r="I9" s="153">
        <f t="shared" si="11"/>
        <v>0</v>
      </c>
      <c r="J9" s="153">
        <f t="shared" si="9"/>
        <v>0</v>
      </c>
      <c r="K9" s="153">
        <f t="shared" ref="K9:L9" si="12">SUMIF($B5:$B7,"kötelező",K5:K7)</f>
        <v>1153.3989999999999</v>
      </c>
      <c r="L9" s="153">
        <f t="shared" si="12"/>
        <v>1165.1579999999999</v>
      </c>
      <c r="M9" s="153">
        <f t="shared" si="9"/>
        <v>0</v>
      </c>
      <c r="N9" s="153">
        <f t="shared" ref="N9:O9" si="13">SUMIF($B5:$B7,"kötelező",N5:N7)</f>
        <v>0</v>
      </c>
      <c r="O9" s="153">
        <f t="shared" si="13"/>
        <v>0</v>
      </c>
      <c r="P9" s="153">
        <f t="shared" si="9"/>
        <v>0</v>
      </c>
      <c r="Q9" s="153">
        <f t="shared" ref="Q9:R9" si="14">SUMIF($B5:$B7,"kötelező",Q5:Q7)</f>
        <v>0</v>
      </c>
      <c r="R9" s="153">
        <f t="shared" si="14"/>
        <v>0</v>
      </c>
      <c r="S9" s="153">
        <f t="shared" si="9"/>
        <v>0</v>
      </c>
      <c r="T9" s="153">
        <f t="shared" ref="T9:U9" si="15">SUMIF($B5:$B7,"kötelező",T5:T7)</f>
        <v>0</v>
      </c>
      <c r="U9" s="153">
        <f t="shared" si="15"/>
        <v>0</v>
      </c>
      <c r="V9" s="153">
        <f t="shared" si="9"/>
        <v>73200.899999999994</v>
      </c>
      <c r="W9" s="153">
        <f t="shared" ref="W9:Z9" si="16">SUMIF($B5:$B7,"kötelező",W5:W7)</f>
        <v>73439.136999999988</v>
      </c>
      <c r="X9" s="153">
        <f t="shared" ref="X9" si="17">SUMIF($B5:$B7,"kötelező",X5:X7)</f>
        <v>52855.565000000002</v>
      </c>
      <c r="Y9" s="153">
        <f t="shared" si="16"/>
        <v>0</v>
      </c>
      <c r="Z9" s="153">
        <f t="shared" si="16"/>
        <v>371.66399999999999</v>
      </c>
      <c r="AA9" s="153">
        <f t="shared" ref="AA9" si="18">SUMIF($B5:$B7,"kötelező",AA5:AA7)</f>
        <v>371.66399999999999</v>
      </c>
      <c r="AB9" s="153">
        <f t="shared" si="9"/>
        <v>73539</v>
      </c>
      <c r="AC9" s="153">
        <f t="shared" si="9"/>
        <v>75302.3</v>
      </c>
      <c r="AD9" s="153">
        <f t="shared" ref="AD9" si="19">SUMIF($B5:$B7,"kötelező",AD5:AD7)</f>
        <v>54673.891999999993</v>
      </c>
      <c r="AE9" s="322">
        <f t="shared" si="1"/>
        <v>0.72605872596188947</v>
      </c>
    </row>
    <row r="10" spans="1:31" x14ac:dyDescent="0.25">
      <c r="A10" s="236">
        <v>9</v>
      </c>
      <c r="B10" s="45"/>
      <c r="C10" s="45" t="s">
        <v>313</v>
      </c>
      <c r="D10" s="153">
        <f>SUMIF($B5:$B7,"államigazgatási",D5:D7)</f>
        <v>0</v>
      </c>
      <c r="E10" s="153">
        <f>SUMIF($B5:$B7,"államigazgatási",E5:E7)</f>
        <v>0</v>
      </c>
      <c r="F10" s="153">
        <f>SUMIF($B5:$B7,"államigazgatási",F5:F7)</f>
        <v>0</v>
      </c>
      <c r="G10" s="153">
        <f t="shared" ref="G10:AC10" si="20">SUMIF($B5:$B7,"államigazgatási",G5:G7)</f>
        <v>0</v>
      </c>
      <c r="H10" s="153">
        <f t="shared" ref="H10:I10" si="21">SUMIF($B5:$B7,"államigazgatási",H5:H7)</f>
        <v>0</v>
      </c>
      <c r="I10" s="153">
        <f t="shared" si="21"/>
        <v>0</v>
      </c>
      <c r="J10" s="153">
        <f t="shared" si="20"/>
        <v>0</v>
      </c>
      <c r="K10" s="153">
        <f t="shared" ref="K10:L10" si="22">SUMIF($B5:$B7,"államigazgatási",K5:K7)</f>
        <v>0</v>
      </c>
      <c r="L10" s="153">
        <f t="shared" si="22"/>
        <v>0</v>
      </c>
      <c r="M10" s="153">
        <f t="shared" si="20"/>
        <v>0</v>
      </c>
      <c r="N10" s="153">
        <f t="shared" ref="N10:O10" si="23">SUMIF($B5:$B7,"államigazgatási",N5:N7)</f>
        <v>0</v>
      </c>
      <c r="O10" s="153">
        <f t="shared" si="23"/>
        <v>0</v>
      </c>
      <c r="P10" s="153">
        <f t="shared" si="20"/>
        <v>0</v>
      </c>
      <c r="Q10" s="153">
        <f t="shared" ref="Q10:R10" si="24">SUMIF($B5:$B7,"államigazgatási",Q5:Q7)</f>
        <v>0</v>
      </c>
      <c r="R10" s="153">
        <f t="shared" si="24"/>
        <v>0</v>
      </c>
      <c r="S10" s="153">
        <f t="shared" si="20"/>
        <v>0</v>
      </c>
      <c r="T10" s="153">
        <f t="shared" ref="T10:U10" si="25">SUMIF($B5:$B7,"államigazgatási",T5:T7)</f>
        <v>0</v>
      </c>
      <c r="U10" s="153">
        <f t="shared" si="25"/>
        <v>0</v>
      </c>
      <c r="V10" s="153">
        <f t="shared" si="20"/>
        <v>7170</v>
      </c>
      <c r="W10" s="153">
        <f t="shared" ref="W10:Z10" si="26">SUMIF($B5:$B7,"államigazgatási",W5:W7)</f>
        <v>7170</v>
      </c>
      <c r="X10" s="153">
        <f t="shared" ref="X10" si="27">SUMIF($B5:$B7,"államigazgatási",X5:X7)</f>
        <v>5377.5</v>
      </c>
      <c r="Y10" s="153">
        <f t="shared" si="26"/>
        <v>0</v>
      </c>
      <c r="Z10" s="153">
        <f t="shared" si="26"/>
        <v>0</v>
      </c>
      <c r="AA10" s="153">
        <f t="shared" ref="AA10" si="28">SUMIF($B5:$B7,"államigazgatási",AA5:AA7)</f>
        <v>0</v>
      </c>
      <c r="AB10" s="153">
        <f t="shared" si="20"/>
        <v>7170</v>
      </c>
      <c r="AC10" s="153">
        <f t="shared" si="20"/>
        <v>7170</v>
      </c>
      <c r="AD10" s="153">
        <f t="shared" ref="AD10" si="29">SUMIF($B5:$B7,"államigazgatási",AD5:AD7)</f>
        <v>5377.5</v>
      </c>
      <c r="AE10" s="322">
        <f t="shared" si="1"/>
        <v>0.75</v>
      </c>
    </row>
  </sheetData>
  <mergeCells count="11">
    <mergeCell ref="P1:AB1"/>
    <mergeCell ref="D3:F3"/>
    <mergeCell ref="G3:I3"/>
    <mergeCell ref="J3:L3"/>
    <mergeCell ref="M3:O3"/>
    <mergeCell ref="C2:AE2"/>
    <mergeCell ref="AB3:AE3"/>
    <mergeCell ref="P3:R3"/>
    <mergeCell ref="S3:U3"/>
    <mergeCell ref="V3:X3"/>
    <mergeCell ref="Y3:AA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20"/>
  <sheetViews>
    <sheetView view="pageBreakPreview" zoomScaleNormal="100" zoomScaleSheetLayoutView="100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P28" sqref="P28"/>
    </sheetView>
  </sheetViews>
  <sheetFormatPr defaultRowHeight="15" x14ac:dyDescent="0.25"/>
  <cols>
    <col min="1" max="1" width="5.28515625" style="54" customWidth="1"/>
    <col min="2" max="2" width="13.28515625" style="54" customWidth="1"/>
    <col min="3" max="3" width="28" style="54" customWidth="1"/>
    <col min="4" max="5" width="11.28515625" style="54" bestFit="1" customWidth="1"/>
    <col min="6" max="6" width="11.28515625" style="54" customWidth="1"/>
    <col min="7" max="7" width="10.85546875" style="54" bestFit="1" customWidth="1"/>
    <col min="8" max="8" width="8.28515625" style="54" bestFit="1" customWidth="1"/>
    <col min="9" max="9" width="8.28515625" style="54" customWidth="1"/>
    <col min="10" max="10" width="10.85546875" style="54" bestFit="1" customWidth="1"/>
    <col min="11" max="11" width="8.28515625" style="54" bestFit="1" customWidth="1"/>
    <col min="12" max="12" width="8.28515625" style="54" customWidth="1"/>
    <col min="13" max="13" width="10.85546875" style="54" bestFit="1" customWidth="1"/>
    <col min="14" max="14" width="8.28515625" style="54" bestFit="1" customWidth="1"/>
    <col min="15" max="15" width="8.28515625" style="54" customWidth="1"/>
    <col min="16" max="16" width="10.85546875" style="54" bestFit="1" customWidth="1"/>
    <col min="17" max="17" width="8.28515625" style="54" bestFit="1" customWidth="1"/>
    <col min="18" max="18" width="8.28515625" style="54" customWidth="1"/>
    <col min="19" max="19" width="10.85546875" style="54" bestFit="1" customWidth="1"/>
    <col min="20" max="20" width="8.28515625" style="54" bestFit="1" customWidth="1"/>
    <col min="21" max="21" width="8.28515625" style="54" customWidth="1"/>
    <col min="22" max="23" width="12.42578125" style="54" bestFit="1" customWidth="1"/>
    <col min="24" max="24" width="12.42578125" style="54" customWidth="1"/>
    <col min="25" max="27" width="8.28515625" style="54" customWidth="1"/>
    <col min="28" max="28" width="16" style="54" customWidth="1"/>
    <col min="29" max="29" width="0" style="53" hidden="1" customWidth="1"/>
    <col min="30" max="31" width="12.42578125" style="54" bestFit="1" customWidth="1"/>
    <col min="32" max="32" width="13.28515625" style="54" bestFit="1" customWidth="1"/>
    <col min="33" max="16384" width="9.140625" style="54"/>
  </cols>
  <sheetData>
    <row r="1" spans="1:32" x14ac:dyDescent="0.25">
      <c r="S1" s="47"/>
      <c r="T1" s="47"/>
      <c r="U1" s="47"/>
      <c r="V1" s="47"/>
      <c r="W1" s="47"/>
      <c r="X1" s="47"/>
      <c r="Y1" s="47"/>
      <c r="Z1" s="47"/>
      <c r="AA1" s="47"/>
      <c r="AB1" s="95" t="s">
        <v>415</v>
      </c>
    </row>
    <row r="2" spans="1:32" ht="62.25" customHeight="1" x14ac:dyDescent="0.25">
      <c r="A2" s="46">
        <v>1</v>
      </c>
      <c r="B2" s="46"/>
      <c r="C2" s="570" t="s">
        <v>542</v>
      </c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  <c r="AE2" s="571"/>
      <c r="AF2" s="571"/>
    </row>
    <row r="3" spans="1:32" ht="57" customHeight="1" x14ac:dyDescent="0.25">
      <c r="A3" s="46">
        <v>2</v>
      </c>
      <c r="B3" s="48" t="s">
        <v>255</v>
      </c>
      <c r="C3" s="50" t="s">
        <v>199</v>
      </c>
      <c r="D3" s="564" t="s">
        <v>159</v>
      </c>
      <c r="E3" s="565"/>
      <c r="F3" s="566"/>
      <c r="G3" s="564" t="s">
        <v>158</v>
      </c>
      <c r="H3" s="565"/>
      <c r="I3" s="566"/>
      <c r="J3" s="564" t="s">
        <v>201</v>
      </c>
      <c r="K3" s="565"/>
      <c r="L3" s="566"/>
      <c r="M3" s="564" t="s">
        <v>202</v>
      </c>
      <c r="N3" s="565"/>
      <c r="O3" s="566"/>
      <c r="P3" s="564" t="s">
        <v>203</v>
      </c>
      <c r="Q3" s="565"/>
      <c r="R3" s="566"/>
      <c r="S3" s="564" t="s">
        <v>248</v>
      </c>
      <c r="T3" s="565"/>
      <c r="U3" s="566"/>
      <c r="V3" s="564" t="s">
        <v>249</v>
      </c>
      <c r="W3" s="565"/>
      <c r="X3" s="566"/>
      <c r="Y3" s="564" t="s">
        <v>330</v>
      </c>
      <c r="Z3" s="565"/>
      <c r="AA3" s="566"/>
      <c r="AB3" s="564" t="s">
        <v>205</v>
      </c>
      <c r="AC3" s="565"/>
      <c r="AD3" s="565"/>
      <c r="AE3" s="565"/>
      <c r="AF3" s="566"/>
    </row>
    <row r="4" spans="1:32" ht="57" x14ac:dyDescent="0.25">
      <c r="A4" s="46">
        <v>3</v>
      </c>
      <c r="B4" s="55"/>
      <c r="C4" s="50" t="s">
        <v>250</v>
      </c>
      <c r="D4" s="64" t="s">
        <v>410</v>
      </c>
      <c r="E4" s="100" t="s">
        <v>406</v>
      </c>
      <c r="F4" s="100" t="s">
        <v>416</v>
      </c>
      <c r="G4" s="64" t="s">
        <v>410</v>
      </c>
      <c r="H4" s="100" t="s">
        <v>406</v>
      </c>
      <c r="I4" s="100" t="s">
        <v>416</v>
      </c>
      <c r="J4" s="64" t="s">
        <v>410</v>
      </c>
      <c r="K4" s="100" t="s">
        <v>406</v>
      </c>
      <c r="L4" s="100" t="s">
        <v>416</v>
      </c>
      <c r="M4" s="64" t="s">
        <v>410</v>
      </c>
      <c r="N4" s="100" t="s">
        <v>406</v>
      </c>
      <c r="O4" s="100" t="s">
        <v>416</v>
      </c>
      <c r="P4" s="64" t="s">
        <v>410</v>
      </c>
      <c r="Q4" s="100" t="s">
        <v>406</v>
      </c>
      <c r="R4" s="100" t="s">
        <v>416</v>
      </c>
      <c r="S4" s="64" t="s">
        <v>410</v>
      </c>
      <c r="T4" s="100" t="s">
        <v>406</v>
      </c>
      <c r="U4" s="100" t="s">
        <v>416</v>
      </c>
      <c r="V4" s="64" t="s">
        <v>410</v>
      </c>
      <c r="W4" s="100" t="s">
        <v>406</v>
      </c>
      <c r="X4" s="100" t="s">
        <v>416</v>
      </c>
      <c r="Y4" s="64" t="s">
        <v>410</v>
      </c>
      <c r="Z4" s="100" t="s">
        <v>406</v>
      </c>
      <c r="AA4" s="100" t="s">
        <v>416</v>
      </c>
      <c r="AB4" s="64" t="s">
        <v>410</v>
      </c>
      <c r="AC4" s="100" t="s">
        <v>406</v>
      </c>
      <c r="AD4" s="100" t="s">
        <v>406</v>
      </c>
      <c r="AE4" s="100" t="s">
        <v>416</v>
      </c>
      <c r="AF4" s="100" t="s">
        <v>417</v>
      </c>
    </row>
    <row r="5" spans="1:32" s="58" customFormat="1" x14ac:dyDescent="0.25">
      <c r="A5" s="56">
        <v>4</v>
      </c>
      <c r="B5" s="56" t="s">
        <v>207</v>
      </c>
      <c r="C5" s="57" t="s">
        <v>256</v>
      </c>
      <c r="D5" s="145"/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7">
        <v>852</v>
      </c>
      <c r="W5" s="147">
        <v>852</v>
      </c>
      <c r="X5" s="147">
        <v>425.274</v>
      </c>
      <c r="Y5" s="147"/>
      <c r="Z5" s="147"/>
      <c r="AA5" s="147"/>
      <c r="AB5" s="148">
        <f t="shared" ref="AB5:AB16" si="0">D5+G5+J5+M5+P5+S5+V5</f>
        <v>852</v>
      </c>
      <c r="AC5" s="148">
        <f t="shared" ref="AC5" si="1">E5+H5+K5+N5+Q5+T5+W5</f>
        <v>852</v>
      </c>
      <c r="AD5" s="148">
        <f>E5+H5+K5+N5+Q5+T5+W5+Z5</f>
        <v>852</v>
      </c>
      <c r="AE5" s="148">
        <f>F5+I5+L5+O5+R5+U5+X5+AA5</f>
        <v>425.274</v>
      </c>
      <c r="AF5" s="279">
        <f t="shared" ref="AF5:AF19" si="2">AE5/AD5</f>
        <v>0.49914788732394366</v>
      </c>
    </row>
    <row r="6" spans="1:32" s="58" customFormat="1" x14ac:dyDescent="0.25">
      <c r="A6" s="56">
        <v>6</v>
      </c>
      <c r="B6" s="56" t="s">
        <v>207</v>
      </c>
      <c r="C6" s="57" t="s">
        <v>257</v>
      </c>
      <c r="D6" s="145"/>
      <c r="E6" s="145"/>
      <c r="F6" s="145"/>
      <c r="G6" s="145"/>
      <c r="H6" s="145"/>
      <c r="I6" s="145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>
        <v>321</v>
      </c>
      <c r="W6" s="147">
        <v>321</v>
      </c>
      <c r="X6" s="147">
        <v>155.881</v>
      </c>
      <c r="Y6" s="147"/>
      <c r="Z6" s="147"/>
      <c r="AA6" s="147"/>
      <c r="AB6" s="148">
        <f t="shared" si="0"/>
        <v>321</v>
      </c>
      <c r="AC6" s="192"/>
      <c r="AD6" s="148">
        <f t="shared" ref="AD6:AE16" si="3">E6+H6+K6+N6+Q6+T6+W6+Z6</f>
        <v>321</v>
      </c>
      <c r="AE6" s="148">
        <f t="shared" si="3"/>
        <v>155.881</v>
      </c>
      <c r="AF6" s="279">
        <f t="shared" si="2"/>
        <v>0.48561059190031153</v>
      </c>
    </row>
    <row r="7" spans="1:32" s="58" customFormat="1" x14ac:dyDescent="0.25">
      <c r="A7" s="56">
        <v>7</v>
      </c>
      <c r="B7" s="56" t="s">
        <v>213</v>
      </c>
      <c r="C7" s="57" t="s">
        <v>258</v>
      </c>
      <c r="D7" s="145"/>
      <c r="E7" s="145"/>
      <c r="F7" s="145"/>
      <c r="G7" s="145"/>
      <c r="H7" s="145"/>
      <c r="I7" s="145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>
        <v>689</v>
      </c>
      <c r="W7" s="147">
        <v>794.8</v>
      </c>
      <c r="X7" s="147">
        <v>443.584</v>
      </c>
      <c r="Y7" s="147"/>
      <c r="Z7" s="147"/>
      <c r="AA7" s="147"/>
      <c r="AB7" s="148">
        <f t="shared" si="0"/>
        <v>689</v>
      </c>
      <c r="AC7" s="192">
        <v>13</v>
      </c>
      <c r="AD7" s="148">
        <f t="shared" si="3"/>
        <v>794.8</v>
      </c>
      <c r="AE7" s="148">
        <f t="shared" si="3"/>
        <v>443.584</v>
      </c>
      <c r="AF7" s="279">
        <f t="shared" si="2"/>
        <v>0.55810770005032717</v>
      </c>
    </row>
    <row r="8" spans="1:32" s="58" customFormat="1" x14ac:dyDescent="0.25">
      <c r="A8" s="56">
        <v>8</v>
      </c>
      <c r="B8" s="56" t="s">
        <v>207</v>
      </c>
      <c r="C8" s="57" t="s">
        <v>259</v>
      </c>
      <c r="D8" s="145"/>
      <c r="E8" s="145"/>
      <c r="F8" s="145"/>
      <c r="G8" s="145"/>
      <c r="H8" s="145"/>
      <c r="I8" s="145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>
        <v>9538</v>
      </c>
      <c r="W8" s="147">
        <v>9780.3469999999998</v>
      </c>
      <c r="X8" s="147">
        <v>6699.3310000000001</v>
      </c>
      <c r="Y8" s="147"/>
      <c r="Z8" s="147"/>
      <c r="AA8" s="147"/>
      <c r="AB8" s="148">
        <f t="shared" si="0"/>
        <v>9538</v>
      </c>
      <c r="AC8" s="192"/>
      <c r="AD8" s="148">
        <f t="shared" si="3"/>
        <v>9780.3469999999998</v>
      </c>
      <c r="AE8" s="148">
        <f t="shared" si="3"/>
        <v>6699.3310000000001</v>
      </c>
      <c r="AF8" s="279">
        <f t="shared" si="2"/>
        <v>0.68497886629175841</v>
      </c>
    </row>
    <row r="9" spans="1:32" s="58" customFormat="1" x14ac:dyDescent="0.25">
      <c r="A9" s="56">
        <v>9</v>
      </c>
      <c r="B9" s="56" t="s">
        <v>207</v>
      </c>
      <c r="C9" s="57" t="s">
        <v>260</v>
      </c>
      <c r="D9" s="145"/>
      <c r="E9" s="145"/>
      <c r="F9" s="145"/>
      <c r="G9" s="145"/>
      <c r="H9" s="145"/>
      <c r="I9" s="145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7">
        <v>600</v>
      </c>
      <c r="W9" s="147">
        <v>600</v>
      </c>
      <c r="X9" s="147">
        <v>400</v>
      </c>
      <c r="Y9" s="147"/>
      <c r="Z9" s="147"/>
      <c r="AA9" s="147"/>
      <c r="AB9" s="148">
        <f t="shared" si="0"/>
        <v>600</v>
      </c>
      <c r="AC9" s="192"/>
      <c r="AD9" s="148">
        <f t="shared" si="3"/>
        <v>600</v>
      </c>
      <c r="AE9" s="148">
        <f t="shared" si="3"/>
        <v>400</v>
      </c>
      <c r="AF9" s="279">
        <f t="shared" si="2"/>
        <v>0.66666666666666663</v>
      </c>
    </row>
    <row r="10" spans="1:32" s="58" customFormat="1" x14ac:dyDescent="0.25">
      <c r="A10" s="56">
        <v>10</v>
      </c>
      <c r="B10" s="56" t="s">
        <v>213</v>
      </c>
      <c r="C10" s="57" t="s">
        <v>261</v>
      </c>
      <c r="D10" s="142">
        <v>26151</v>
      </c>
      <c r="E10" s="142">
        <v>26151</v>
      </c>
      <c r="F10" s="142">
        <v>19865.733</v>
      </c>
      <c r="G10" s="142"/>
      <c r="H10" s="142"/>
      <c r="I10" s="142"/>
      <c r="J10" s="146">
        <v>966</v>
      </c>
      <c r="K10" s="146">
        <v>966</v>
      </c>
      <c r="L10" s="146">
        <v>946.28499999999997</v>
      </c>
      <c r="M10" s="146"/>
      <c r="N10" s="146"/>
      <c r="O10" s="146"/>
      <c r="P10" s="146"/>
      <c r="Q10" s="146"/>
      <c r="R10" s="146"/>
      <c r="S10" s="146"/>
      <c r="T10" s="146"/>
      <c r="U10" s="146"/>
      <c r="V10" s="147">
        <v>60487</v>
      </c>
      <c r="W10" s="147">
        <v>66779</v>
      </c>
      <c r="X10" s="147">
        <f>40469.168+206.07</f>
        <v>40675.237999999998</v>
      </c>
      <c r="Y10" s="147"/>
      <c r="Z10" s="147">
        <v>483.49900000000002</v>
      </c>
      <c r="AA10" s="147">
        <v>483.49900000000002</v>
      </c>
      <c r="AB10" s="148">
        <f>D10+G10+J10+M10+P10+S10+V10</f>
        <v>87604</v>
      </c>
      <c r="AC10" s="148">
        <f t="shared" ref="AC10" si="4">E10+H10+K10+N10+Q10+T10+W10</f>
        <v>93896</v>
      </c>
      <c r="AD10" s="148">
        <f t="shared" si="3"/>
        <v>94379.498999999996</v>
      </c>
      <c r="AE10" s="148">
        <f t="shared" si="3"/>
        <v>61970.754999999997</v>
      </c>
      <c r="AF10" s="279">
        <f t="shared" si="2"/>
        <v>0.65661245987330363</v>
      </c>
    </row>
    <row r="11" spans="1:32" s="58" customFormat="1" x14ac:dyDescent="0.25">
      <c r="A11" s="56">
        <v>11</v>
      </c>
      <c r="B11" s="56" t="s">
        <v>207</v>
      </c>
      <c r="C11" s="57" t="s">
        <v>262</v>
      </c>
      <c r="D11" s="145"/>
      <c r="E11" s="145"/>
      <c r="F11" s="145">
        <v>38.024999999999999</v>
      </c>
      <c r="G11" s="145"/>
      <c r="H11" s="145"/>
      <c r="I11" s="145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7">
        <v>10637</v>
      </c>
      <c r="W11" s="147">
        <v>13194.971</v>
      </c>
      <c r="X11" s="147">
        <v>9114.4189999999999</v>
      </c>
      <c r="Y11" s="147"/>
      <c r="Z11" s="147"/>
      <c r="AA11" s="147"/>
      <c r="AB11" s="148">
        <f t="shared" si="0"/>
        <v>10637</v>
      </c>
      <c r="AC11" s="192">
        <v>4</v>
      </c>
      <c r="AD11" s="148">
        <f t="shared" si="3"/>
        <v>13194.971</v>
      </c>
      <c r="AE11" s="148">
        <f t="shared" si="3"/>
        <v>9152.4439999999995</v>
      </c>
      <c r="AF11" s="279">
        <f t="shared" si="2"/>
        <v>0.69363123268705928</v>
      </c>
    </row>
    <row r="12" spans="1:32" s="58" customFormat="1" x14ac:dyDescent="0.25">
      <c r="A12" s="56">
        <v>12</v>
      </c>
      <c r="B12" s="56" t="s">
        <v>207</v>
      </c>
      <c r="C12" s="57" t="s">
        <v>350</v>
      </c>
      <c r="D12" s="145"/>
      <c r="E12" s="145"/>
      <c r="F12" s="145"/>
      <c r="G12" s="145"/>
      <c r="H12" s="145"/>
      <c r="I12" s="145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7">
        <v>8912</v>
      </c>
      <c r="W12" s="147">
        <v>12285.394</v>
      </c>
      <c r="X12" s="147">
        <v>9345.3649999999998</v>
      </c>
      <c r="Y12" s="147"/>
      <c r="Z12" s="147"/>
      <c r="AA12" s="147"/>
      <c r="AB12" s="148">
        <f t="shared" si="0"/>
        <v>8912</v>
      </c>
      <c r="AC12" s="192"/>
      <c r="AD12" s="148">
        <f t="shared" si="3"/>
        <v>12285.394</v>
      </c>
      <c r="AE12" s="148">
        <f t="shared" si="3"/>
        <v>9345.3649999999998</v>
      </c>
      <c r="AF12" s="279">
        <f t="shared" si="2"/>
        <v>0.76068907517333184</v>
      </c>
    </row>
    <row r="13" spans="1:32" s="58" customFormat="1" x14ac:dyDescent="0.25">
      <c r="A13" s="56">
        <v>13</v>
      </c>
      <c r="B13" s="56" t="s">
        <v>207</v>
      </c>
      <c r="C13" s="57" t="s">
        <v>263</v>
      </c>
      <c r="D13" s="142">
        <v>4857</v>
      </c>
      <c r="E13" s="142">
        <v>4857</v>
      </c>
      <c r="F13" s="142">
        <v>3350.4560000000001</v>
      </c>
      <c r="G13" s="145"/>
      <c r="H13" s="145"/>
      <c r="I13" s="145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7">
        <v>6614</v>
      </c>
      <c r="W13" s="147">
        <v>6916.8149999999996</v>
      </c>
      <c r="X13" s="147">
        <v>3467.3040000000001</v>
      </c>
      <c r="Y13" s="147"/>
      <c r="Z13" s="147"/>
      <c r="AA13" s="147"/>
      <c r="AB13" s="148">
        <f t="shared" si="0"/>
        <v>11471</v>
      </c>
      <c r="AC13" s="192">
        <v>10237</v>
      </c>
      <c r="AD13" s="148">
        <f t="shared" si="3"/>
        <v>11773.814999999999</v>
      </c>
      <c r="AE13" s="148">
        <f t="shared" si="3"/>
        <v>6817.76</v>
      </c>
      <c r="AF13" s="279">
        <f t="shared" si="2"/>
        <v>0.57906124735270603</v>
      </c>
    </row>
    <row r="14" spans="1:32" x14ac:dyDescent="0.25">
      <c r="A14" s="46">
        <v>14</v>
      </c>
      <c r="B14" s="46" t="s">
        <v>207</v>
      </c>
      <c r="C14" s="52" t="s">
        <v>264</v>
      </c>
      <c r="D14" s="149"/>
      <c r="E14" s="149"/>
      <c r="F14" s="149"/>
      <c r="G14" s="149"/>
      <c r="H14" s="149"/>
      <c r="I14" s="149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1">
        <v>9539</v>
      </c>
      <c r="W14" s="151">
        <v>9944</v>
      </c>
      <c r="X14" s="151">
        <v>6745.4059999999999</v>
      </c>
      <c r="Y14" s="151"/>
      <c r="Z14" s="151"/>
      <c r="AA14" s="151"/>
      <c r="AB14" s="152">
        <f t="shared" si="0"/>
        <v>9539</v>
      </c>
      <c r="AC14" s="193"/>
      <c r="AD14" s="148">
        <f t="shared" si="3"/>
        <v>9944</v>
      </c>
      <c r="AE14" s="148">
        <f t="shared" si="3"/>
        <v>6745.4059999999999</v>
      </c>
      <c r="AF14" s="279">
        <f t="shared" si="2"/>
        <v>0.67833930008045051</v>
      </c>
    </row>
    <row r="15" spans="1:32" x14ac:dyDescent="0.25">
      <c r="A15" s="46">
        <v>15</v>
      </c>
      <c r="B15" s="46" t="s">
        <v>213</v>
      </c>
      <c r="C15" s="52" t="s">
        <v>230</v>
      </c>
      <c r="D15" s="149"/>
      <c r="E15" s="149"/>
      <c r="F15" s="149"/>
      <c r="G15" s="149"/>
      <c r="H15" s="149"/>
      <c r="I15" s="149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1">
        <v>2562</v>
      </c>
      <c r="W15" s="151">
        <v>2562</v>
      </c>
      <c r="X15" s="151">
        <v>1977.77</v>
      </c>
      <c r="Y15" s="151"/>
      <c r="Z15" s="151"/>
      <c r="AA15" s="151"/>
      <c r="AB15" s="152">
        <f t="shared" si="0"/>
        <v>2562</v>
      </c>
      <c r="AC15" s="193">
        <v>5328</v>
      </c>
      <c r="AD15" s="148">
        <f t="shared" si="3"/>
        <v>2562</v>
      </c>
      <c r="AE15" s="148">
        <f t="shared" si="3"/>
        <v>1977.77</v>
      </c>
      <c r="AF15" s="279">
        <f t="shared" si="2"/>
        <v>0.77196330991412954</v>
      </c>
    </row>
    <row r="16" spans="1:32" x14ac:dyDescent="0.25">
      <c r="A16" s="46">
        <v>17</v>
      </c>
      <c r="B16" s="46" t="s">
        <v>213</v>
      </c>
      <c r="C16" s="52" t="s">
        <v>265</v>
      </c>
      <c r="D16" s="149">
        <v>1430</v>
      </c>
      <c r="E16" s="149">
        <v>1430</v>
      </c>
      <c r="F16" s="149">
        <v>1026.453</v>
      </c>
      <c r="G16" s="149"/>
      <c r="H16" s="149"/>
      <c r="I16" s="149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1"/>
      <c r="W16" s="151"/>
      <c r="X16" s="151"/>
      <c r="Y16" s="151"/>
      <c r="Z16" s="151"/>
      <c r="AA16" s="151"/>
      <c r="AB16" s="152">
        <f t="shared" si="0"/>
        <v>1430</v>
      </c>
      <c r="AC16" s="193">
        <v>1384</v>
      </c>
      <c r="AD16" s="148">
        <f t="shared" si="3"/>
        <v>1430</v>
      </c>
      <c r="AE16" s="148">
        <f t="shared" si="3"/>
        <v>1026.453</v>
      </c>
      <c r="AF16" s="279">
        <f t="shared" si="2"/>
        <v>0.71779930069930065</v>
      </c>
    </row>
    <row r="17" spans="1:32" ht="15.75" x14ac:dyDescent="0.25">
      <c r="A17" s="46">
        <v>18</v>
      </c>
      <c r="B17" s="46"/>
      <c r="C17" s="50" t="s">
        <v>253</v>
      </c>
      <c r="D17" s="152">
        <f t="shared" ref="D17:AD17" si="5">SUM(D5:D16)</f>
        <v>32438</v>
      </c>
      <c r="E17" s="152">
        <f t="shared" ref="E17:F17" si="6">SUM(E5:E16)</f>
        <v>32438</v>
      </c>
      <c r="F17" s="507">
        <f t="shared" si="6"/>
        <v>24280.667000000001</v>
      </c>
      <c r="G17" s="152">
        <f t="shared" si="5"/>
        <v>0</v>
      </c>
      <c r="H17" s="152">
        <f t="shared" ref="H17:I17" si="7">SUM(H5:H16)</f>
        <v>0</v>
      </c>
      <c r="I17" s="152">
        <f t="shared" si="7"/>
        <v>0</v>
      </c>
      <c r="J17" s="152">
        <f t="shared" si="5"/>
        <v>966</v>
      </c>
      <c r="K17" s="152">
        <f t="shared" ref="K17" si="8">SUM(K5:K16)</f>
        <v>966</v>
      </c>
      <c r="L17" s="507">
        <f>SUM(L5:L16)</f>
        <v>946.28499999999997</v>
      </c>
      <c r="M17" s="152">
        <f t="shared" si="5"/>
        <v>0</v>
      </c>
      <c r="N17" s="152">
        <f t="shared" ref="N17:O17" si="9">SUM(N5:N16)</f>
        <v>0</v>
      </c>
      <c r="O17" s="152">
        <f t="shared" si="9"/>
        <v>0</v>
      </c>
      <c r="P17" s="152">
        <f t="shared" si="5"/>
        <v>0</v>
      </c>
      <c r="Q17" s="152">
        <f t="shared" ref="Q17:R17" si="10">SUM(Q5:Q16)</f>
        <v>0</v>
      </c>
      <c r="R17" s="152">
        <f t="shared" si="10"/>
        <v>0</v>
      </c>
      <c r="S17" s="152">
        <f t="shared" si="5"/>
        <v>0</v>
      </c>
      <c r="T17" s="152">
        <f t="shared" ref="T17:U17" si="11">SUM(T5:T16)</f>
        <v>0</v>
      </c>
      <c r="U17" s="152">
        <f t="shared" si="11"/>
        <v>0</v>
      </c>
      <c r="V17" s="152">
        <f t="shared" si="5"/>
        <v>110751</v>
      </c>
      <c r="W17" s="152">
        <f>SUM(W5:W16)</f>
        <v>124030.327</v>
      </c>
      <c r="X17" s="152">
        <f t="shared" ref="X17" si="12">SUM(X5:X16)</f>
        <v>79449.572000000015</v>
      </c>
      <c r="Y17" s="152">
        <f t="shared" ref="Y17:Z17" si="13">SUM(Y5:Y16)</f>
        <v>0</v>
      </c>
      <c r="Z17" s="152">
        <f t="shared" si="13"/>
        <v>483.49900000000002</v>
      </c>
      <c r="AA17" s="507">
        <f t="shared" ref="AA17" si="14">SUM(AA5:AA16)</f>
        <v>483.49900000000002</v>
      </c>
      <c r="AB17" s="152">
        <f t="shared" si="5"/>
        <v>144155</v>
      </c>
      <c r="AC17" s="152">
        <f t="shared" si="5"/>
        <v>111714</v>
      </c>
      <c r="AD17" s="152">
        <f t="shared" si="5"/>
        <v>157917.826</v>
      </c>
      <c r="AE17" s="152">
        <f t="shared" ref="AE17" si="15">SUM(AE5:AE16)</f>
        <v>105160.023</v>
      </c>
      <c r="AF17" s="279">
        <f t="shared" si="2"/>
        <v>0.66591610120063327</v>
      </c>
    </row>
    <row r="18" spans="1:32" x14ac:dyDescent="0.25">
      <c r="A18" s="46">
        <v>19</v>
      </c>
      <c r="B18" s="59"/>
      <c r="C18" s="60" t="s">
        <v>238</v>
      </c>
      <c r="D18" s="153">
        <f t="shared" ref="D18:AD18" si="16">SUMIF($B5:$B16,"kötelező",D5:D16)</f>
        <v>4857</v>
      </c>
      <c r="E18" s="153">
        <f t="shared" ref="E18:F18" si="17">SUMIF($B5:$B16,"kötelező",E5:E16)</f>
        <v>4857</v>
      </c>
      <c r="F18" s="153">
        <f t="shared" si="17"/>
        <v>3388.4810000000002</v>
      </c>
      <c r="G18" s="153">
        <f t="shared" si="16"/>
        <v>0</v>
      </c>
      <c r="H18" s="153">
        <f t="shared" ref="H18:I18" si="18">SUMIF($B5:$B16,"kötelező",H5:H16)</f>
        <v>0</v>
      </c>
      <c r="I18" s="153">
        <f t="shared" si="18"/>
        <v>0</v>
      </c>
      <c r="J18" s="153">
        <f t="shared" si="16"/>
        <v>0</v>
      </c>
      <c r="K18" s="153">
        <f t="shared" ref="K18:L18" si="19">SUMIF($B5:$B16,"kötelező",K5:K16)</f>
        <v>0</v>
      </c>
      <c r="L18" s="153">
        <f t="shared" si="19"/>
        <v>0</v>
      </c>
      <c r="M18" s="153">
        <f t="shared" si="16"/>
        <v>0</v>
      </c>
      <c r="N18" s="153">
        <f t="shared" ref="N18:O18" si="20">SUMIF($B5:$B16,"kötelező",N5:N16)</f>
        <v>0</v>
      </c>
      <c r="O18" s="153">
        <f t="shared" si="20"/>
        <v>0</v>
      </c>
      <c r="P18" s="153">
        <f t="shared" si="16"/>
        <v>0</v>
      </c>
      <c r="Q18" s="153">
        <f t="shared" ref="Q18:R18" si="21">SUMIF($B5:$B16,"kötelező",Q5:Q16)</f>
        <v>0</v>
      </c>
      <c r="R18" s="153">
        <f t="shared" si="21"/>
        <v>0</v>
      </c>
      <c r="S18" s="153">
        <f t="shared" si="16"/>
        <v>0</v>
      </c>
      <c r="T18" s="153">
        <f t="shared" ref="T18:U18" si="22">SUMIF($B5:$B16,"kötelező",T5:T16)</f>
        <v>0</v>
      </c>
      <c r="U18" s="153">
        <f t="shared" si="22"/>
        <v>0</v>
      </c>
      <c r="V18" s="153">
        <f t="shared" si="16"/>
        <v>47013</v>
      </c>
      <c r="W18" s="153">
        <f t="shared" ref="W18:Z18" si="23">SUMIF($B5:$B16,"kötelező",W5:W16)</f>
        <v>53894.527000000002</v>
      </c>
      <c r="X18" s="153">
        <f t="shared" ref="X18" si="24">SUMIF($B5:$B16,"kötelező",X5:X16)</f>
        <v>36352.979999999996</v>
      </c>
      <c r="Y18" s="153">
        <f t="shared" si="23"/>
        <v>0</v>
      </c>
      <c r="Z18" s="153">
        <f t="shared" si="23"/>
        <v>0</v>
      </c>
      <c r="AA18" s="153">
        <f t="shared" ref="AA18" si="25">SUMIF($B5:$B16,"kötelező",AA5:AA16)</f>
        <v>0</v>
      </c>
      <c r="AB18" s="153">
        <f t="shared" si="16"/>
        <v>51870</v>
      </c>
      <c r="AC18" s="153">
        <f t="shared" si="16"/>
        <v>11093</v>
      </c>
      <c r="AD18" s="153">
        <f t="shared" si="16"/>
        <v>58751.527000000002</v>
      </c>
      <c r="AE18" s="153">
        <f t="shared" ref="AE18" si="26">SUMIF($B5:$B16,"kötelező",AE5:AE16)</f>
        <v>39741.461000000003</v>
      </c>
      <c r="AF18" s="274">
        <f t="shared" si="2"/>
        <v>0.67643281850359394</v>
      </c>
    </row>
    <row r="19" spans="1:32" x14ac:dyDescent="0.25">
      <c r="A19" s="46">
        <v>20</v>
      </c>
      <c r="B19" s="59"/>
      <c r="C19" s="60" t="s">
        <v>239</v>
      </c>
      <c r="D19" s="153">
        <f t="shared" ref="D19:AD19" si="27">SUMIF($B5:$B16,"nem kötelező",D5:D16)</f>
        <v>27581</v>
      </c>
      <c r="E19" s="153">
        <f t="shared" ref="E19:F19" si="28">SUMIF($B5:$B16,"nem kötelező",E5:E16)</f>
        <v>27581</v>
      </c>
      <c r="F19" s="153">
        <f t="shared" si="28"/>
        <v>20892.186000000002</v>
      </c>
      <c r="G19" s="153">
        <f t="shared" si="27"/>
        <v>0</v>
      </c>
      <c r="H19" s="153">
        <f t="shared" ref="H19:I19" si="29">SUMIF($B5:$B16,"nem kötelező",H5:H16)</f>
        <v>0</v>
      </c>
      <c r="I19" s="153">
        <f t="shared" si="29"/>
        <v>0</v>
      </c>
      <c r="J19" s="153">
        <f t="shared" si="27"/>
        <v>966</v>
      </c>
      <c r="K19" s="153">
        <f t="shared" ref="K19:L19" si="30">SUMIF($B5:$B16,"nem kötelező",K5:K16)</f>
        <v>966</v>
      </c>
      <c r="L19" s="153">
        <f t="shared" si="30"/>
        <v>946.28499999999997</v>
      </c>
      <c r="M19" s="153">
        <f t="shared" si="27"/>
        <v>0</v>
      </c>
      <c r="N19" s="153">
        <f t="shared" ref="N19:O19" si="31">SUMIF($B5:$B16,"nem kötelező",N5:N16)</f>
        <v>0</v>
      </c>
      <c r="O19" s="153">
        <f t="shared" si="31"/>
        <v>0</v>
      </c>
      <c r="P19" s="153">
        <f t="shared" si="27"/>
        <v>0</v>
      </c>
      <c r="Q19" s="153">
        <f t="shared" ref="Q19:R19" si="32">SUMIF($B5:$B16,"nem kötelező",Q5:Q16)</f>
        <v>0</v>
      </c>
      <c r="R19" s="153">
        <f t="shared" si="32"/>
        <v>0</v>
      </c>
      <c r="S19" s="153">
        <f t="shared" si="27"/>
        <v>0</v>
      </c>
      <c r="T19" s="153">
        <f t="shared" ref="T19:U19" si="33">SUMIF($B5:$B16,"nem kötelező",T5:T16)</f>
        <v>0</v>
      </c>
      <c r="U19" s="153">
        <f t="shared" si="33"/>
        <v>0</v>
      </c>
      <c r="V19" s="153">
        <f t="shared" si="27"/>
        <v>63738</v>
      </c>
      <c r="W19" s="153">
        <f t="shared" ref="W19:Z19" si="34">SUMIF($B5:$B16,"nem kötelező",W5:W16)</f>
        <v>70135.8</v>
      </c>
      <c r="X19" s="153">
        <f t="shared" ref="X19" si="35">SUMIF($B5:$B16,"nem kötelező",X5:X16)</f>
        <v>43096.591999999997</v>
      </c>
      <c r="Y19" s="153">
        <f t="shared" si="34"/>
        <v>0</v>
      </c>
      <c r="Z19" s="153">
        <f t="shared" si="34"/>
        <v>483.49900000000002</v>
      </c>
      <c r="AA19" s="153">
        <f t="shared" ref="AA19" si="36">SUMIF($B5:$B16,"nem kötelező",AA5:AA16)</f>
        <v>483.49900000000002</v>
      </c>
      <c r="AB19" s="153">
        <f t="shared" si="27"/>
        <v>92285</v>
      </c>
      <c r="AC19" s="153">
        <f t="shared" si="27"/>
        <v>100621</v>
      </c>
      <c r="AD19" s="153">
        <f t="shared" si="27"/>
        <v>99166.298999999999</v>
      </c>
      <c r="AE19" s="153">
        <f t="shared" ref="AE19" si="37">SUMIF($B5:$B16,"nem kötelező",AE5:AE16)</f>
        <v>65418.561999999998</v>
      </c>
      <c r="AF19" s="274">
        <f t="shared" si="2"/>
        <v>0.65968542397654673</v>
      </c>
    </row>
    <row r="20" spans="1:32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</sheetData>
  <mergeCells count="10">
    <mergeCell ref="P3:R3"/>
    <mergeCell ref="S3:U3"/>
    <mergeCell ref="V3:X3"/>
    <mergeCell ref="Y3:AA3"/>
    <mergeCell ref="C2:AF2"/>
    <mergeCell ref="AB3:AF3"/>
    <mergeCell ref="D3:F3"/>
    <mergeCell ref="G3:I3"/>
    <mergeCell ref="J3:L3"/>
    <mergeCell ref="M3:O3"/>
  </mergeCells>
  <printOptions horizontalCentered="1"/>
  <pageMargins left="0.70866141732283472" right="0.15748031496062992" top="0.74803149606299213" bottom="0.7480314960629921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10</vt:i4>
      </vt:variant>
    </vt:vector>
  </HeadingPairs>
  <TitlesOfParts>
    <vt:vector size="28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'3.1 Önk bev.'!Nyomtatási_terület</vt:lpstr>
      <vt:lpstr>'3.2 PMH bev.'!Nyomtatási_terület</vt:lpstr>
      <vt:lpstr>'3.3 GKP bev'!Nyomtatási_terület</vt:lpstr>
      <vt:lpstr>'3.4 VE bev'!Nyomtatási_terület</vt:lpstr>
      <vt:lpstr>'3.5 MH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2018-11-24T15:06:14Z</dcterms:modified>
</cp:coreProperties>
</file>