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945" windowWidth="14805" windowHeight="7170" firstSheet="7" activeTab="11"/>
  </bookViews>
  <sheets>
    <sheet name="1.1.összevont" sheetId="1" r:id="rId1"/>
    <sheet name="1.2.kötelező" sheetId="4" r:id="rId2"/>
    <sheet name="1.3.önként" sheetId="5" r:id="rId3"/>
    <sheet name="1.4.államigazg" sheetId="6" r:id="rId4"/>
    <sheet name="2.1.műkmérleg" sheetId="2" r:id="rId5"/>
    <sheet name="2.2.felhmérleg" sheetId="7" r:id="rId6"/>
    <sheet name="3.1 Önk bev." sheetId="22" r:id="rId7"/>
    <sheet name="3.2 PMH bev." sheetId="23" r:id="rId8"/>
    <sheet name="3.3 GKP bev" sheetId="24" r:id="rId9"/>
    <sheet name="3.4 VE bev" sheetId="25" r:id="rId10"/>
    <sheet name="3.5 MH bev." sheetId="31" r:id="rId11"/>
    <sheet name="4.1.Önk kiad" sheetId="26" r:id="rId12"/>
    <sheet name="4.2.PMH kiad" sheetId="27" r:id="rId13"/>
    <sheet name="4.3. GKP kiad" sheetId="28" r:id="rId14"/>
    <sheet name="4.4. VE kiad" sheetId="29" r:id="rId15"/>
    <sheet name="4.5. MH kiad" sheetId="30" r:id="rId16"/>
    <sheet name="5.Beruh" sheetId="18" r:id="rId17"/>
    <sheet name="6.Felújít" sheetId="20" r:id="rId18"/>
  </sheets>
  <externalReferences>
    <externalReference r:id="rId19"/>
  </externalReferences>
  <definedNames>
    <definedName name="_xlnm._FilterDatabase" localSheetId="6" hidden="1">'3.1 Önk bev.'!$B$2:$U$62</definedName>
    <definedName name="_xlnm.Print_Area" localSheetId="6">'3.1 Önk bev.'!$A$1:$W$85</definedName>
    <definedName name="_xlnm.Print_Area" localSheetId="11">'4.1.Önk kiad'!$A$1:$AE$92</definedName>
    <definedName name="_xlnm.Print_Area" localSheetId="12">'4.2.PMH kiad'!$A$2:$Y$12</definedName>
    <definedName name="_xlnm.Print_Area" localSheetId="13">'4.3. GKP kiad'!$A$2:$Y$21</definedName>
    <definedName name="_xlnm.Print_Area" localSheetId="14">'4.4. VE kiad'!$A$2:$Y$11</definedName>
    <definedName name="_xlnm.Print_Area" localSheetId="15">'4.5. MH kiad'!$A$2:$Y$18</definedName>
    <definedName name="Verzió" localSheetId="7">#REF!</definedName>
    <definedName name="Verzió" localSheetId="8">#REF!</definedName>
    <definedName name="Verzió" localSheetId="9">#REF!</definedName>
    <definedName name="Verzió" localSheetId="10">#REF!</definedName>
    <definedName name="Verzió" localSheetId="11">#REF!</definedName>
    <definedName name="Verzió" localSheetId="12">#REF!</definedName>
    <definedName name="Verzió" localSheetId="13">#REF!</definedName>
    <definedName name="Verzió" localSheetId="14">#REF!</definedName>
    <definedName name="Verzió" localSheetId="15">#REF!</definedName>
    <definedName name="Verzió">#REF!</definedName>
  </definedNames>
  <calcPr calcId="145621"/>
</workbook>
</file>

<file path=xl/calcChain.xml><?xml version="1.0" encoding="utf-8"?>
<calcChain xmlns="http://schemas.openxmlformats.org/spreadsheetml/2006/main">
  <c r="F47" i="18" l="1"/>
  <c r="F59" i="18"/>
  <c r="F43" i="18"/>
  <c r="D15" i="7"/>
  <c r="D19" i="7" s="1"/>
  <c r="D14" i="2"/>
  <c r="D17" i="7"/>
  <c r="D21" i="7"/>
  <c r="D13" i="4" l="1"/>
  <c r="N37" i="22"/>
  <c r="N36" i="22"/>
  <c r="E13" i="1"/>
  <c r="Y6" i="30"/>
  <c r="Y12" i="30"/>
  <c r="V12" i="31"/>
  <c r="V16" i="31"/>
  <c r="AC86" i="26"/>
  <c r="D65" i="26" l="1"/>
  <c r="W60" i="22"/>
  <c r="E6" i="30" l="1"/>
  <c r="I6" i="31"/>
  <c r="M26" i="26" l="1"/>
  <c r="Y15" i="26"/>
  <c r="G30" i="26"/>
  <c r="E30" i="26"/>
  <c r="I30" i="26"/>
  <c r="K25" i="26"/>
  <c r="AE83" i="26"/>
  <c r="AE82" i="26"/>
  <c r="Q12" i="24"/>
  <c r="Q10" i="24"/>
  <c r="O10" i="28"/>
  <c r="O7" i="27"/>
  <c r="I7" i="27"/>
  <c r="W57" i="22" l="1"/>
  <c r="Y13" i="26" l="1"/>
  <c r="G14" i="2" l="1"/>
  <c r="D21" i="2" s="1"/>
  <c r="G14" i="7" l="1"/>
  <c r="N67" i="22"/>
  <c r="M67" i="22"/>
  <c r="D64" i="5" l="1"/>
  <c r="T40" i="22"/>
  <c r="L64" i="22" l="1"/>
  <c r="L82" i="22" s="1"/>
  <c r="F67" i="18"/>
  <c r="AC59" i="26"/>
  <c r="M5" i="26"/>
  <c r="I5" i="26"/>
  <c r="F63" i="18"/>
  <c r="B63" i="18"/>
  <c r="I6" i="30"/>
  <c r="O5" i="29"/>
  <c r="I5" i="29"/>
  <c r="Q5" i="25"/>
  <c r="G5" i="29"/>
  <c r="E5" i="29"/>
  <c r="Q7" i="23"/>
  <c r="Q8" i="24"/>
  <c r="Q11" i="24"/>
  <c r="Q13" i="24"/>
  <c r="G8" i="28"/>
  <c r="E8" i="28"/>
  <c r="G11" i="28"/>
  <c r="E11" i="28"/>
  <c r="G12" i="28"/>
  <c r="E12" i="28"/>
  <c r="G13" i="28"/>
  <c r="E13" i="28"/>
  <c r="G7" i="27"/>
  <c r="E7" i="27"/>
  <c r="AE79" i="26"/>
  <c r="AE76" i="26" l="1"/>
  <c r="J50" i="22" l="1"/>
  <c r="I6" i="23" l="1"/>
  <c r="F12" i="20" l="1"/>
  <c r="D69" i="5"/>
  <c r="T66" i="22"/>
  <c r="D40" i="4"/>
  <c r="D12" i="4"/>
  <c r="D11" i="4"/>
  <c r="E66" i="1"/>
  <c r="E69" i="1"/>
  <c r="E40" i="1"/>
  <c r="E21" i="1"/>
  <c r="E12" i="1"/>
  <c r="E11" i="1"/>
  <c r="Y81" i="26" l="1"/>
  <c r="Z81" i="26"/>
  <c r="AA81" i="26"/>
  <c r="W81" i="26"/>
  <c r="AE85" i="26"/>
  <c r="W51" i="22"/>
  <c r="W52" i="22"/>
  <c r="W53" i="22"/>
  <c r="W54" i="22"/>
  <c r="W55" i="22"/>
  <c r="W56" i="22"/>
  <c r="Q6" i="31"/>
  <c r="K20" i="26" l="1"/>
  <c r="W7" i="26"/>
  <c r="AC62" i="26"/>
  <c r="W63" i="26"/>
  <c r="P42" i="22"/>
  <c r="U51" i="26"/>
  <c r="U8" i="26"/>
  <c r="U56" i="26"/>
  <c r="W10" i="26"/>
  <c r="Q14" i="31"/>
  <c r="V6" i="31" l="1"/>
  <c r="R16" i="31"/>
  <c r="S16" i="31"/>
  <c r="R15" i="31"/>
  <c r="S15" i="31"/>
  <c r="R14" i="31"/>
  <c r="S14" i="31"/>
  <c r="G10" i="28"/>
  <c r="E10" i="28"/>
  <c r="Y14" i="26"/>
  <c r="I32" i="26"/>
  <c r="I11" i="26"/>
  <c r="I37" i="26"/>
  <c r="I12" i="26"/>
  <c r="T64" i="22"/>
  <c r="G38" i="26"/>
  <c r="E38" i="26"/>
  <c r="Q14" i="24"/>
  <c r="G14" i="28"/>
  <c r="E14" i="28"/>
  <c r="G6" i="30" l="1"/>
  <c r="D14" i="7" l="1"/>
  <c r="S66" i="22"/>
  <c r="S64" i="22"/>
  <c r="D15" i="5"/>
  <c r="D19" i="5"/>
  <c r="D9" i="4"/>
  <c r="E71" i="26"/>
  <c r="F14" i="20"/>
  <c r="E14" i="20"/>
  <c r="B14" i="20"/>
  <c r="G11" i="20"/>
  <c r="D14" i="20"/>
  <c r="F53" i="18"/>
  <c r="F35" i="18"/>
  <c r="F27" i="18"/>
  <c r="B43" i="18"/>
  <c r="E68" i="18"/>
  <c r="E67" i="18"/>
  <c r="E63" i="18"/>
  <c r="D63" i="18"/>
  <c r="E53" i="18"/>
  <c r="D53" i="18"/>
  <c r="B53" i="18"/>
  <c r="E47" i="18"/>
  <c r="D43" i="18"/>
  <c r="D68" i="18" s="1"/>
  <c r="E35" i="18"/>
  <c r="B35" i="18"/>
  <c r="E27" i="18"/>
  <c r="E43" i="18" s="1"/>
  <c r="B27" i="18"/>
  <c r="F68" i="18" l="1"/>
  <c r="B68" i="18"/>
  <c r="W79" i="22" l="1"/>
  <c r="W78" i="22"/>
  <c r="V78" i="22"/>
  <c r="W59" i="22"/>
  <c r="I61" i="26"/>
  <c r="AC61" i="26" s="1"/>
  <c r="I60" i="26"/>
  <c r="W58" i="22"/>
  <c r="W31" i="26"/>
  <c r="I57" i="26"/>
  <c r="G55" i="26"/>
  <c r="G28" i="26"/>
  <c r="G27" i="26"/>
  <c r="E55" i="26"/>
  <c r="E28" i="26"/>
  <c r="E27" i="26"/>
  <c r="F64" i="22"/>
  <c r="G64" i="22"/>
  <c r="U50" i="22"/>
  <c r="W50" i="22"/>
  <c r="AB63" i="26"/>
  <c r="W69" i="22"/>
  <c r="W70" i="22"/>
  <c r="U69" i="22"/>
  <c r="U70" i="22"/>
  <c r="Y7" i="30"/>
  <c r="Y8" i="30"/>
  <c r="Y9" i="30"/>
  <c r="Y10" i="30"/>
  <c r="Y11" i="30"/>
  <c r="Y13" i="30"/>
  <c r="V13" i="31"/>
  <c r="V7" i="31"/>
  <c r="V8" i="31"/>
  <c r="V9" i="31"/>
  <c r="V10" i="31"/>
  <c r="V11" i="31"/>
  <c r="O7" i="25"/>
  <c r="O8" i="25"/>
  <c r="O9" i="25"/>
  <c r="M7" i="25"/>
  <c r="M8" i="25"/>
  <c r="M9" i="25"/>
  <c r="K7" i="25"/>
  <c r="K8" i="25"/>
  <c r="K9" i="25"/>
  <c r="I7" i="25"/>
  <c r="I8" i="25"/>
  <c r="I9" i="25"/>
  <c r="G7" i="25"/>
  <c r="G8" i="25"/>
  <c r="G9" i="25"/>
  <c r="E7" i="25"/>
  <c r="E8" i="25"/>
  <c r="E9" i="25"/>
  <c r="J29" i="22"/>
  <c r="J28" i="22"/>
  <c r="J66" i="22" s="1"/>
  <c r="J27" i="22"/>
  <c r="J25" i="22"/>
  <c r="J24" i="22"/>
  <c r="J23" i="22"/>
  <c r="J64" i="22" s="1"/>
  <c r="V14" i="31" l="1"/>
  <c r="M35" i="26"/>
  <c r="I65" i="26"/>
  <c r="Q7" i="24"/>
  <c r="G7" i="28"/>
  <c r="E7" i="28"/>
  <c r="Y6" i="27"/>
  <c r="W6" i="23"/>
  <c r="AC52" i="26"/>
  <c r="AC53" i="26"/>
  <c r="AC54" i="26"/>
  <c r="AC55" i="26"/>
  <c r="AC56" i="26"/>
  <c r="AC57" i="26"/>
  <c r="C22" i="7"/>
  <c r="C21" i="7"/>
  <c r="C22" i="2"/>
  <c r="V10" i="30" l="1"/>
  <c r="V11" i="30"/>
  <c r="W14" i="30"/>
  <c r="X14" i="30"/>
  <c r="Y14" i="30"/>
  <c r="W15" i="30"/>
  <c r="X15" i="30"/>
  <c r="Y15" i="30"/>
  <c r="W16" i="30"/>
  <c r="X16" i="30"/>
  <c r="Y16" i="30"/>
  <c r="U14" i="30"/>
  <c r="U15" i="30"/>
  <c r="U16" i="30"/>
  <c r="S14" i="30"/>
  <c r="S15" i="30"/>
  <c r="S16" i="30"/>
  <c r="Q14" i="30"/>
  <c r="Q15" i="30"/>
  <c r="Q16" i="30"/>
  <c r="O14" i="30"/>
  <c r="O15" i="30"/>
  <c r="O16" i="30"/>
  <c r="M14" i="30"/>
  <c r="M15" i="30"/>
  <c r="M16" i="30"/>
  <c r="K14" i="30"/>
  <c r="K15" i="30"/>
  <c r="K16" i="30"/>
  <c r="I14" i="30"/>
  <c r="I15" i="30"/>
  <c r="I16" i="30"/>
  <c r="G14" i="30"/>
  <c r="G15" i="30"/>
  <c r="G16" i="30"/>
  <c r="E14" i="30"/>
  <c r="E15" i="30"/>
  <c r="E16" i="30"/>
  <c r="T10" i="31"/>
  <c r="T11" i="31"/>
  <c r="T6" i="31"/>
  <c r="U14" i="31"/>
  <c r="U15" i="31"/>
  <c r="V15" i="31"/>
  <c r="U16" i="31"/>
  <c r="Q15" i="31"/>
  <c r="Q16" i="31"/>
  <c r="O14" i="31"/>
  <c r="O15" i="31"/>
  <c r="O16" i="31"/>
  <c r="M14" i="31"/>
  <c r="M15" i="31"/>
  <c r="M16" i="31"/>
  <c r="K14" i="31"/>
  <c r="K15" i="31"/>
  <c r="K16" i="31"/>
  <c r="I14" i="31"/>
  <c r="I15" i="31"/>
  <c r="I16" i="31"/>
  <c r="G14" i="31"/>
  <c r="G15" i="31"/>
  <c r="G16" i="31"/>
  <c r="E14" i="31"/>
  <c r="E15" i="31"/>
  <c r="E16" i="31"/>
  <c r="AB48" i="26" l="1"/>
  <c r="AB49" i="26"/>
  <c r="AB52" i="26"/>
  <c r="AB53" i="26"/>
  <c r="AB54" i="26"/>
  <c r="AB56" i="26"/>
  <c r="X13" i="26"/>
  <c r="V31" i="26"/>
  <c r="H57" i="26"/>
  <c r="AB57" i="26" s="1"/>
  <c r="F55" i="26"/>
  <c r="F28" i="26"/>
  <c r="F27" i="26"/>
  <c r="D55" i="26"/>
  <c r="D28" i="26"/>
  <c r="D27" i="26"/>
  <c r="R5" i="26"/>
  <c r="P5" i="26"/>
  <c r="AB55" i="26" l="1"/>
  <c r="U68" i="22"/>
  <c r="K84" i="22" l="1"/>
  <c r="L84" i="22"/>
  <c r="K77" i="22"/>
  <c r="L77" i="22"/>
  <c r="K74" i="22"/>
  <c r="L74" i="22"/>
  <c r="K71" i="22"/>
  <c r="L71" i="22"/>
  <c r="W76" i="22"/>
  <c r="U79" i="22"/>
  <c r="U78" i="22"/>
  <c r="U76" i="22"/>
  <c r="U75" i="22"/>
  <c r="W73" i="22"/>
  <c r="W72" i="22"/>
  <c r="V73" i="22"/>
  <c r="V72" i="22"/>
  <c r="U73" i="22"/>
  <c r="U72" i="22"/>
  <c r="W71" i="22" l="1"/>
  <c r="U65" i="22"/>
  <c r="N66" i="22"/>
  <c r="O66" i="22"/>
  <c r="P66" i="22"/>
  <c r="Q66" i="22"/>
  <c r="R66" i="22"/>
  <c r="N64" i="22"/>
  <c r="O64" i="22"/>
  <c r="P64" i="22"/>
  <c r="Q64" i="22"/>
  <c r="R64" i="22"/>
  <c r="K64" i="22"/>
  <c r="K82" i="22" s="1"/>
  <c r="K66" i="22"/>
  <c r="K83" i="22" s="1"/>
  <c r="M66" i="22"/>
  <c r="M64" i="22"/>
  <c r="E66" i="22"/>
  <c r="E64" i="22"/>
  <c r="W6" i="22"/>
  <c r="W7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W47" i="22"/>
  <c r="W48" i="22"/>
  <c r="W49" i="22"/>
  <c r="W61" i="22"/>
  <c r="W62" i="22"/>
  <c r="W5" i="22"/>
  <c r="V5" i="22"/>
  <c r="U6" i="22"/>
  <c r="U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6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61" i="22"/>
  <c r="U62" i="22"/>
  <c r="U5" i="22"/>
  <c r="L66" i="22"/>
  <c r="L83" i="22" s="1"/>
  <c r="L85" i="22" s="1"/>
  <c r="K63" i="22"/>
  <c r="K80" i="22" s="1"/>
  <c r="L63" i="22"/>
  <c r="L80" i="22" s="1"/>
  <c r="I29" i="22"/>
  <c r="U29" i="22" s="1"/>
  <c r="I28" i="22"/>
  <c r="U28" i="22" s="1"/>
  <c r="I27" i="22"/>
  <c r="U27" i="22" s="1"/>
  <c r="I25" i="22"/>
  <c r="U25" i="22" s="1"/>
  <c r="I24" i="22"/>
  <c r="U24" i="22" s="1"/>
  <c r="I23" i="22"/>
  <c r="I64" i="22" s="1"/>
  <c r="K85" i="22" l="1"/>
  <c r="U23" i="22"/>
  <c r="E83" i="22"/>
  <c r="E82" i="22"/>
  <c r="G82" i="22"/>
  <c r="G84" i="22"/>
  <c r="G77" i="22"/>
  <c r="G74" i="22"/>
  <c r="G71" i="22"/>
  <c r="G67" i="22"/>
  <c r="G66" i="22"/>
  <c r="G83" i="22" s="1"/>
  <c r="G63" i="22"/>
  <c r="E84" i="22"/>
  <c r="E77" i="22"/>
  <c r="E74" i="22"/>
  <c r="E71" i="22"/>
  <c r="E67" i="22"/>
  <c r="E63" i="22"/>
  <c r="C15" i="7"/>
  <c r="C19" i="7" s="1"/>
  <c r="C20" i="7" s="1"/>
  <c r="C14" i="7"/>
  <c r="F20" i="7"/>
  <c r="F14" i="7"/>
  <c r="C21" i="2"/>
  <c r="F19" i="2"/>
  <c r="F14" i="2"/>
  <c r="F20" i="2" s="1"/>
  <c r="C15" i="2"/>
  <c r="C19" i="2" s="1"/>
  <c r="C20" i="2" s="1"/>
  <c r="C14" i="2"/>
  <c r="C81" i="6"/>
  <c r="C76" i="6"/>
  <c r="C86" i="6" s="1"/>
  <c r="C67" i="6"/>
  <c r="C53" i="6"/>
  <c r="C75" i="6" s="1"/>
  <c r="C87" i="6" s="1"/>
  <c r="C41" i="6"/>
  <c r="C35" i="6"/>
  <c r="C47" i="6" s="1"/>
  <c r="C23" i="6"/>
  <c r="C19" i="6"/>
  <c r="C15" i="6"/>
  <c r="C8" i="6"/>
  <c r="C34" i="6" s="1"/>
  <c r="C48" i="6" s="1"/>
  <c r="C8" i="5"/>
  <c r="C15" i="5"/>
  <c r="C19" i="5"/>
  <c r="C24" i="5"/>
  <c r="C23" i="5" s="1"/>
  <c r="C34" i="5" s="1"/>
  <c r="C48" i="5" s="1"/>
  <c r="C35" i="5"/>
  <c r="C41" i="5"/>
  <c r="C47" i="5"/>
  <c r="C81" i="5"/>
  <c r="C76" i="5"/>
  <c r="C86" i="5" s="1"/>
  <c r="C67" i="5"/>
  <c r="C66" i="5"/>
  <c r="C64" i="5" s="1"/>
  <c r="C58" i="5"/>
  <c r="C53" i="5" s="1"/>
  <c r="C75" i="5" s="1"/>
  <c r="C87" i="5" s="1"/>
  <c r="C81" i="4"/>
  <c r="C76" i="4"/>
  <c r="C86" i="4" s="1"/>
  <c r="C72" i="4"/>
  <c r="C67" i="4"/>
  <c r="C64" i="4"/>
  <c r="C58" i="4"/>
  <c r="C53" i="4" s="1"/>
  <c r="C75" i="4" s="1"/>
  <c r="C87" i="4" s="1"/>
  <c r="C46" i="4"/>
  <c r="C45" i="4"/>
  <c r="C44" i="4"/>
  <c r="C35" i="4"/>
  <c r="C33" i="4"/>
  <c r="C31" i="4"/>
  <c r="C24" i="4"/>
  <c r="C23" i="4"/>
  <c r="C19" i="4"/>
  <c r="C15" i="4"/>
  <c r="C9" i="4"/>
  <c r="C8" i="4"/>
  <c r="D24" i="5"/>
  <c r="E58" i="1"/>
  <c r="D81" i="1"/>
  <c r="D76" i="1"/>
  <c r="D86" i="1" s="1"/>
  <c r="D70" i="1"/>
  <c r="D69" i="1"/>
  <c r="D68" i="1"/>
  <c r="D67" i="1"/>
  <c r="D65" i="1"/>
  <c r="D64" i="1"/>
  <c r="D58" i="1"/>
  <c r="D53" i="1"/>
  <c r="D75" i="1" s="1"/>
  <c r="D87" i="1" s="1"/>
  <c r="E24" i="1"/>
  <c r="D41" i="1"/>
  <c r="D35" i="1"/>
  <c r="D47" i="1" s="1"/>
  <c r="D24" i="1"/>
  <c r="D23" i="1"/>
  <c r="D19" i="1"/>
  <c r="D15" i="1"/>
  <c r="D34" i="1" s="1"/>
  <c r="D48" i="1" s="1"/>
  <c r="D8" i="1"/>
  <c r="G85" i="22" l="1"/>
  <c r="U64" i="22"/>
  <c r="U82" i="22" s="1"/>
  <c r="G80" i="22"/>
  <c r="E85" i="22"/>
  <c r="E80" i="22"/>
  <c r="C34" i="4"/>
  <c r="C47" i="4"/>
  <c r="G37" i="18"/>
  <c r="G20" i="7"/>
  <c r="D15" i="2"/>
  <c r="D19" i="2" s="1"/>
  <c r="G19" i="2"/>
  <c r="D81" i="6"/>
  <c r="D76" i="6"/>
  <c r="D86" i="6" s="1"/>
  <c r="D67" i="6"/>
  <c r="D53" i="6"/>
  <c r="D75" i="6" s="1"/>
  <c r="D87" i="6" s="1"/>
  <c r="D41" i="6"/>
  <c r="D35" i="6"/>
  <c r="D47" i="6" s="1"/>
  <c r="D92" i="6" s="1"/>
  <c r="D23" i="6"/>
  <c r="D19" i="6"/>
  <c r="D15" i="6"/>
  <c r="D8" i="6"/>
  <c r="D34" i="6" s="1"/>
  <c r="D48" i="6" s="1"/>
  <c r="D81" i="5"/>
  <c r="D76" i="5"/>
  <c r="D86" i="5" s="1"/>
  <c r="D67" i="5"/>
  <c r="D58" i="5"/>
  <c r="D41" i="5"/>
  <c r="D35" i="5"/>
  <c r="D47" i="5" s="1"/>
  <c r="D23" i="5"/>
  <c r="D8" i="5"/>
  <c r="D86" i="4"/>
  <c r="D81" i="4"/>
  <c r="D67" i="4"/>
  <c r="D58" i="4"/>
  <c r="D53" i="4" s="1"/>
  <c r="W65" i="22"/>
  <c r="D19" i="4"/>
  <c r="D47" i="4"/>
  <c r="D35" i="4"/>
  <c r="D33" i="4"/>
  <c r="D31" i="4"/>
  <c r="D24" i="4"/>
  <c r="D23" i="4" s="1"/>
  <c r="D15" i="4"/>
  <c r="D8" i="4"/>
  <c r="E81" i="1"/>
  <c r="E76" i="1"/>
  <c r="E67" i="1"/>
  <c r="E64" i="1"/>
  <c r="E53" i="1" s="1"/>
  <c r="J84" i="22"/>
  <c r="E35" i="1"/>
  <c r="E47" i="1" s="1"/>
  <c r="E23" i="1"/>
  <c r="E19" i="1"/>
  <c r="E15" i="1"/>
  <c r="E8" i="1"/>
  <c r="D92" i="4" l="1"/>
  <c r="E86" i="1"/>
  <c r="E92" i="1" s="1"/>
  <c r="E75" i="1"/>
  <c r="C48" i="4"/>
  <c r="D20" i="7"/>
  <c r="D22" i="7" s="1"/>
  <c r="G20" i="2"/>
  <c r="D20" i="2"/>
  <c r="D22" i="2" s="1"/>
  <c r="D91" i="6"/>
  <c r="D53" i="5"/>
  <c r="D75" i="5" s="1"/>
  <c r="D87" i="5" s="1"/>
  <c r="D34" i="5"/>
  <c r="D92" i="5"/>
  <c r="D75" i="4"/>
  <c r="D87" i="4" s="1"/>
  <c r="D34" i="4"/>
  <c r="D48" i="4" s="1"/>
  <c r="E34" i="1"/>
  <c r="V84" i="22"/>
  <c r="W84" i="22"/>
  <c r="T84" i="22"/>
  <c r="R84" i="22"/>
  <c r="P84" i="22"/>
  <c r="N84" i="22"/>
  <c r="H84" i="22"/>
  <c r="F84" i="22"/>
  <c r="V79" i="22"/>
  <c r="T77" i="22"/>
  <c r="R77" i="22"/>
  <c r="F77" i="22"/>
  <c r="H77" i="22"/>
  <c r="I77" i="22"/>
  <c r="J77" i="22"/>
  <c r="M77" i="22"/>
  <c r="N77" i="22"/>
  <c r="O77" i="22"/>
  <c r="P77" i="22"/>
  <c r="AE89" i="26"/>
  <c r="AE90" i="26"/>
  <c r="AE91" i="26"/>
  <c r="AA90" i="26"/>
  <c r="Y90" i="26"/>
  <c r="W90" i="26"/>
  <c r="U90" i="26"/>
  <c r="S90" i="26"/>
  <c r="Q90" i="26"/>
  <c r="O90" i="26"/>
  <c r="M90" i="26"/>
  <c r="K90" i="26"/>
  <c r="I90" i="26"/>
  <c r="G90" i="26"/>
  <c r="AA73" i="26"/>
  <c r="AA89" i="26" s="1"/>
  <c r="AA74" i="26"/>
  <c r="AA91" i="26" s="1"/>
  <c r="Y73" i="26"/>
  <c r="Y89" i="26" s="1"/>
  <c r="W73" i="26"/>
  <c r="W89" i="26" s="1"/>
  <c r="W74" i="26"/>
  <c r="W91" i="26" s="1"/>
  <c r="U74" i="26"/>
  <c r="U91" i="26" s="1"/>
  <c r="S73" i="26"/>
  <c r="S89" i="26" s="1"/>
  <c r="S74" i="26"/>
  <c r="S91" i="26" s="1"/>
  <c r="Q73" i="26"/>
  <c r="Q89" i="26" s="1"/>
  <c r="Q74" i="26"/>
  <c r="Q91" i="26" s="1"/>
  <c r="O73" i="26"/>
  <c r="O89" i="26" s="1"/>
  <c r="O74" i="26"/>
  <c r="O91" i="26" s="1"/>
  <c r="M74" i="26"/>
  <c r="M91" i="26" s="1"/>
  <c r="K73" i="26"/>
  <c r="K89" i="26" s="1"/>
  <c r="K74" i="26"/>
  <c r="K91" i="26" s="1"/>
  <c r="I73" i="26"/>
  <c r="I89" i="26" s="1"/>
  <c r="I74" i="26"/>
  <c r="I91" i="26" s="1"/>
  <c r="G74" i="26"/>
  <c r="G91" i="26" s="1"/>
  <c r="E74" i="26"/>
  <c r="E91" i="26" s="1"/>
  <c r="E90" i="26"/>
  <c r="AE84" i="26"/>
  <c r="AB86" i="26"/>
  <c r="K84" i="26"/>
  <c r="L84" i="26"/>
  <c r="M84" i="26"/>
  <c r="N84" i="26"/>
  <c r="O84" i="26"/>
  <c r="P84" i="26"/>
  <c r="Q84" i="26"/>
  <c r="R84" i="26"/>
  <c r="S84" i="26"/>
  <c r="T84" i="26"/>
  <c r="U84" i="26"/>
  <c r="V84" i="26"/>
  <c r="W84" i="26"/>
  <c r="X84" i="26"/>
  <c r="Y84" i="26"/>
  <c r="Z84" i="26"/>
  <c r="AA84" i="26"/>
  <c r="I84" i="26"/>
  <c r="E84" i="26"/>
  <c r="AC85" i="26"/>
  <c r="AE81" i="26"/>
  <c r="AC83" i="26"/>
  <c r="AC82" i="26"/>
  <c r="AB83" i="26"/>
  <c r="AB82" i="26"/>
  <c r="U81" i="26"/>
  <c r="Q81" i="26"/>
  <c r="O81" i="26"/>
  <c r="M81" i="26"/>
  <c r="K81" i="26"/>
  <c r="I81" i="26"/>
  <c r="G81" i="26"/>
  <c r="E81" i="26"/>
  <c r="AC80" i="26"/>
  <c r="AB80" i="26"/>
  <c r="AC79" i="26"/>
  <c r="L78" i="26"/>
  <c r="M78" i="26"/>
  <c r="N78" i="26"/>
  <c r="O78" i="26"/>
  <c r="P78" i="26"/>
  <c r="Q78" i="26"/>
  <c r="R78" i="26"/>
  <c r="S78" i="26"/>
  <c r="U78" i="26"/>
  <c r="V78" i="26"/>
  <c r="W78" i="26"/>
  <c r="X78" i="26"/>
  <c r="Y78" i="26"/>
  <c r="Z78" i="26"/>
  <c r="AA78" i="26"/>
  <c r="K78" i="26"/>
  <c r="I78" i="26"/>
  <c r="G78" i="26"/>
  <c r="E78" i="26"/>
  <c r="AE75" i="26"/>
  <c r="AC76" i="26"/>
  <c r="AC77" i="26"/>
  <c r="AC90" i="26" s="1"/>
  <c r="U75" i="26"/>
  <c r="Q75" i="26"/>
  <c r="O75" i="26"/>
  <c r="M75" i="26"/>
  <c r="K75" i="26"/>
  <c r="I75" i="26"/>
  <c r="AB77" i="26"/>
  <c r="AB76" i="26"/>
  <c r="G75" i="26"/>
  <c r="E75" i="26"/>
  <c r="W75" i="22"/>
  <c r="V76" i="22"/>
  <c r="V75" i="22"/>
  <c r="R74" i="22"/>
  <c r="P74" i="22"/>
  <c r="N74" i="22"/>
  <c r="J74" i="22"/>
  <c r="H74" i="22"/>
  <c r="F74" i="22"/>
  <c r="T74" i="22"/>
  <c r="AC84" i="26" l="1"/>
  <c r="E87" i="1"/>
  <c r="E91" i="1"/>
  <c r="V77" i="22"/>
  <c r="AC78" i="26"/>
  <c r="AC75" i="26"/>
  <c r="AE92" i="26"/>
  <c r="AC81" i="26"/>
  <c r="AA92" i="26"/>
  <c r="I92" i="26"/>
  <c r="K92" i="26"/>
  <c r="W92" i="26"/>
  <c r="W77" i="22"/>
  <c r="V74" i="22"/>
  <c r="W74" i="22"/>
  <c r="G22" i="7"/>
  <c r="D91" i="5"/>
  <c r="D48" i="5"/>
  <c r="E48" i="1"/>
  <c r="D91" i="4"/>
  <c r="U77" i="22"/>
  <c r="O92" i="26"/>
  <c r="Q92" i="26"/>
  <c r="S92" i="26"/>
  <c r="G84" i="26"/>
  <c r="AB75" i="26"/>
  <c r="V71" i="22"/>
  <c r="T71" i="22"/>
  <c r="R71" i="22"/>
  <c r="P71" i="22"/>
  <c r="N71" i="22"/>
  <c r="J71" i="22"/>
  <c r="H71" i="22"/>
  <c r="W68" i="22"/>
  <c r="W67" i="22" s="1"/>
  <c r="V68" i="22"/>
  <c r="V67" i="22" s="1"/>
  <c r="F67" i="22"/>
  <c r="F71" i="22"/>
  <c r="T67" i="22"/>
  <c r="W19" i="28"/>
  <c r="X19" i="28"/>
  <c r="W18" i="28"/>
  <c r="X18" i="28"/>
  <c r="W17" i="28"/>
  <c r="X17" i="28"/>
  <c r="Y6" i="28"/>
  <c r="Y7" i="28"/>
  <c r="Y8" i="28"/>
  <c r="Y9" i="28"/>
  <c r="Y10" i="28"/>
  <c r="Y11" i="28"/>
  <c r="Y12" i="28"/>
  <c r="Y13" i="28"/>
  <c r="Y14" i="28"/>
  <c r="Y15" i="28"/>
  <c r="Y16" i="28"/>
  <c r="Y5" i="28"/>
  <c r="G17" i="28"/>
  <c r="U17" i="28"/>
  <c r="U18" i="28"/>
  <c r="U19" i="28"/>
  <c r="S17" i="28"/>
  <c r="S18" i="28"/>
  <c r="S19" i="28"/>
  <c r="Q17" i="28"/>
  <c r="Q18" i="28"/>
  <c r="Q19" i="28"/>
  <c r="O17" i="28"/>
  <c r="O18" i="28"/>
  <c r="O19" i="28"/>
  <c r="M17" i="28"/>
  <c r="M18" i="28"/>
  <c r="M19" i="28"/>
  <c r="K17" i="28"/>
  <c r="K18" i="28"/>
  <c r="K19" i="28"/>
  <c r="I17" i="28"/>
  <c r="I18" i="28"/>
  <c r="I19" i="28"/>
  <c r="G18" i="28"/>
  <c r="G19" i="28"/>
  <c r="E18" i="28"/>
  <c r="E19" i="28"/>
  <c r="V6" i="24"/>
  <c r="V7" i="24"/>
  <c r="V8" i="24"/>
  <c r="V9" i="24"/>
  <c r="V10" i="24"/>
  <c r="V11" i="24"/>
  <c r="V12" i="24"/>
  <c r="V13" i="24"/>
  <c r="V14" i="24"/>
  <c r="V15" i="24"/>
  <c r="V16" i="24"/>
  <c r="V5" i="24"/>
  <c r="U10" i="24"/>
  <c r="U19" i="24" s="1"/>
  <c r="T10" i="24"/>
  <c r="U5" i="24"/>
  <c r="U18" i="24" s="1"/>
  <c r="R19" i="24"/>
  <c r="S19" i="24"/>
  <c r="R18" i="24"/>
  <c r="S18" i="24"/>
  <c r="R17" i="24"/>
  <c r="S17" i="24"/>
  <c r="Y18" i="28" l="1"/>
  <c r="Y19" i="28"/>
  <c r="Y17" i="28"/>
  <c r="V18" i="24"/>
  <c r="V19" i="24"/>
  <c r="U17" i="24"/>
  <c r="V17" i="24"/>
  <c r="E17" i="28"/>
  <c r="Q17" i="24"/>
  <c r="Q18" i="24"/>
  <c r="Q19" i="24"/>
  <c r="O17" i="24"/>
  <c r="O18" i="24"/>
  <c r="O19" i="24"/>
  <c r="M17" i="24"/>
  <c r="M18" i="24"/>
  <c r="M19" i="24"/>
  <c r="K17" i="24"/>
  <c r="K18" i="24"/>
  <c r="K19" i="24"/>
  <c r="I17" i="24"/>
  <c r="I18" i="24"/>
  <c r="I19" i="24"/>
  <c r="G17" i="24"/>
  <c r="G18" i="24"/>
  <c r="G19" i="24"/>
  <c r="E17" i="24"/>
  <c r="E18" i="24"/>
  <c r="E19" i="24"/>
  <c r="Y7" i="27" l="1"/>
  <c r="Y9" i="27" s="1"/>
  <c r="Y5" i="27"/>
  <c r="W5" i="27"/>
  <c r="W7" i="27"/>
  <c r="W9" i="27"/>
  <c r="W10" i="27"/>
  <c r="Y10" i="27"/>
  <c r="U8" i="27"/>
  <c r="U9" i="27"/>
  <c r="U10" i="27"/>
  <c r="S8" i="27"/>
  <c r="S9" i="27"/>
  <c r="S10" i="27"/>
  <c r="Q8" i="27"/>
  <c r="Q9" i="27"/>
  <c r="Q10" i="27"/>
  <c r="O8" i="27"/>
  <c r="O9" i="27"/>
  <c r="O10" i="27"/>
  <c r="M8" i="27"/>
  <c r="M9" i="27"/>
  <c r="M10" i="27"/>
  <c r="K8" i="27"/>
  <c r="K9" i="27"/>
  <c r="K10" i="27"/>
  <c r="I8" i="27"/>
  <c r="I9" i="27"/>
  <c r="I10" i="27"/>
  <c r="G8" i="27"/>
  <c r="G9" i="27"/>
  <c r="G10" i="27"/>
  <c r="E10" i="27"/>
  <c r="E9" i="27"/>
  <c r="E8" i="27"/>
  <c r="Y8" i="27" l="1"/>
  <c r="W8" i="27"/>
  <c r="V10" i="23"/>
  <c r="U9" i="23"/>
  <c r="V9" i="23"/>
  <c r="W7" i="23"/>
  <c r="W9" i="23" s="1"/>
  <c r="W5" i="23"/>
  <c r="W10" i="23" s="1"/>
  <c r="T5" i="23"/>
  <c r="U5" i="23"/>
  <c r="U10" i="23" s="1"/>
  <c r="V5" i="23"/>
  <c r="R10" i="23"/>
  <c r="S10" i="23"/>
  <c r="R9" i="23"/>
  <c r="S9" i="23"/>
  <c r="R8" i="23"/>
  <c r="S8" i="23"/>
  <c r="Q8" i="23"/>
  <c r="Q9" i="23"/>
  <c r="Q10" i="23"/>
  <c r="O8" i="23"/>
  <c r="O9" i="23"/>
  <c r="O10" i="23"/>
  <c r="M8" i="23"/>
  <c r="M9" i="23"/>
  <c r="M10" i="23"/>
  <c r="K8" i="23"/>
  <c r="K9" i="23"/>
  <c r="K10" i="23"/>
  <c r="I8" i="23"/>
  <c r="I9" i="23"/>
  <c r="I10" i="23"/>
  <c r="G8" i="23"/>
  <c r="G9" i="23"/>
  <c r="G10" i="23"/>
  <c r="E8" i="23"/>
  <c r="E9" i="23"/>
  <c r="E10" i="23"/>
  <c r="Y6" i="29"/>
  <c r="Y5" i="29"/>
  <c r="W6" i="29"/>
  <c r="X6" i="29"/>
  <c r="V6" i="29"/>
  <c r="W5" i="29"/>
  <c r="X5" i="29"/>
  <c r="W7" i="29"/>
  <c r="W8" i="29"/>
  <c r="X8" i="29"/>
  <c r="Y8" i="29"/>
  <c r="W9" i="29"/>
  <c r="X9" i="29"/>
  <c r="Y9" i="29"/>
  <c r="U7" i="29"/>
  <c r="U8" i="29"/>
  <c r="U9" i="29"/>
  <c r="S7" i="29"/>
  <c r="S8" i="29"/>
  <c r="S9" i="29"/>
  <c r="Q7" i="29"/>
  <c r="Q8" i="29"/>
  <c r="Q9" i="29"/>
  <c r="O7" i="29"/>
  <c r="O8" i="29"/>
  <c r="O9" i="29"/>
  <c r="M7" i="29"/>
  <c r="M8" i="29"/>
  <c r="M9" i="29"/>
  <c r="K7" i="29"/>
  <c r="K8" i="29"/>
  <c r="K9" i="29"/>
  <c r="I7" i="29"/>
  <c r="I8" i="29"/>
  <c r="I9" i="29"/>
  <c r="G9" i="29"/>
  <c r="G8" i="29"/>
  <c r="E9" i="29"/>
  <c r="E8" i="29"/>
  <c r="G7" i="29"/>
  <c r="E7" i="29"/>
  <c r="S6" i="25"/>
  <c r="S9" i="25" s="1"/>
  <c r="S5" i="25"/>
  <c r="S8" i="25" s="1"/>
  <c r="Q9" i="25"/>
  <c r="Q8" i="25"/>
  <c r="Q7" i="25"/>
  <c r="S7" i="25" s="1"/>
  <c r="V6" i="22"/>
  <c r="V7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28" i="22"/>
  <c r="V29" i="22"/>
  <c r="V30" i="22"/>
  <c r="V33" i="22"/>
  <c r="V34" i="22"/>
  <c r="V35" i="22"/>
  <c r="V36" i="22"/>
  <c r="V37" i="22"/>
  <c r="V39" i="22"/>
  <c r="V40" i="22"/>
  <c r="V41" i="22"/>
  <c r="V42" i="22"/>
  <c r="V43" i="22"/>
  <c r="V44" i="22"/>
  <c r="V45" i="22"/>
  <c r="V46" i="22"/>
  <c r="V47" i="22"/>
  <c r="V61" i="22"/>
  <c r="V62" i="22"/>
  <c r="T83" i="22"/>
  <c r="T82" i="22"/>
  <c r="R82" i="22"/>
  <c r="R83" i="22"/>
  <c r="R63" i="22"/>
  <c r="R80" i="22" s="1"/>
  <c r="P63" i="22"/>
  <c r="P80" i="22" s="1"/>
  <c r="P82" i="22"/>
  <c r="P83" i="22"/>
  <c r="N83" i="22"/>
  <c r="V32" i="22"/>
  <c r="J82" i="22"/>
  <c r="J83" i="22"/>
  <c r="H66" i="22"/>
  <c r="H83" i="22" s="1"/>
  <c r="H64" i="22"/>
  <c r="W64" i="22" s="1"/>
  <c r="W82" i="22" s="1"/>
  <c r="F66" i="22"/>
  <c r="J63" i="22"/>
  <c r="J80" i="22" s="1"/>
  <c r="H63" i="22"/>
  <c r="H80" i="22" s="1"/>
  <c r="F63" i="22"/>
  <c r="AC63" i="26"/>
  <c r="AC9" i="26"/>
  <c r="AC10" i="26"/>
  <c r="AC11" i="26"/>
  <c r="AC12" i="26"/>
  <c r="AC13" i="26"/>
  <c r="AC14" i="26"/>
  <c r="AC16" i="26"/>
  <c r="AC17" i="26"/>
  <c r="AC18" i="26"/>
  <c r="AC19" i="26"/>
  <c r="AC20" i="26"/>
  <c r="AC21" i="26"/>
  <c r="AC22" i="26"/>
  <c r="AC23" i="26"/>
  <c r="AC26" i="26"/>
  <c r="AC29" i="26"/>
  <c r="AC30" i="26"/>
  <c r="AC31" i="26"/>
  <c r="AC32" i="26"/>
  <c r="AC33" i="26"/>
  <c r="AC34" i="26"/>
  <c r="AC36" i="26"/>
  <c r="AC37" i="26"/>
  <c r="AC38" i="26"/>
  <c r="AC39" i="26"/>
  <c r="AC40" i="26"/>
  <c r="AC41" i="26"/>
  <c r="AC42" i="26"/>
  <c r="AC43" i="26"/>
  <c r="AC44" i="26"/>
  <c r="AC45" i="26"/>
  <c r="AC46" i="26"/>
  <c r="AC47" i="26"/>
  <c r="AC48" i="26"/>
  <c r="AC49" i="26"/>
  <c r="AC50" i="26"/>
  <c r="AC51" i="26"/>
  <c r="AC58" i="26"/>
  <c r="AC60" i="26"/>
  <c r="AC64" i="26"/>
  <c r="AC8" i="26"/>
  <c r="AC7" i="26"/>
  <c r="AC5" i="26"/>
  <c r="S65" i="26"/>
  <c r="S87" i="26" s="1"/>
  <c r="Q65" i="26"/>
  <c r="Q87" i="26" s="1"/>
  <c r="O65" i="26"/>
  <c r="O87" i="26" s="1"/>
  <c r="K65" i="26"/>
  <c r="K87" i="26" s="1"/>
  <c r="I87" i="26"/>
  <c r="AA65" i="26"/>
  <c r="AA87" i="26" s="1"/>
  <c r="W65" i="26"/>
  <c r="W87" i="26" s="1"/>
  <c r="U73" i="26"/>
  <c r="U89" i="26" s="1"/>
  <c r="U92" i="26" s="1"/>
  <c r="M73" i="26"/>
  <c r="M89" i="26" s="1"/>
  <c r="M92" i="26" s="1"/>
  <c r="W8" i="23" l="1"/>
  <c r="W66" i="22"/>
  <c r="W83" i="22" s="1"/>
  <c r="H82" i="22"/>
  <c r="H85" i="22" s="1"/>
  <c r="T85" i="22"/>
  <c r="X7" i="29"/>
  <c r="F80" i="22"/>
  <c r="P85" i="22"/>
  <c r="V31" i="22"/>
  <c r="N63" i="22"/>
  <c r="N82" i="22"/>
  <c r="N85" i="22" s="1"/>
  <c r="F83" i="22"/>
  <c r="J85" i="22"/>
  <c r="F82" i="22"/>
  <c r="R85" i="22"/>
  <c r="U65" i="26"/>
  <c r="U87" i="26" s="1"/>
  <c r="AC35" i="26"/>
  <c r="M65" i="26"/>
  <c r="M87" i="26" s="1"/>
  <c r="AC28" i="26"/>
  <c r="Y7" i="29"/>
  <c r="AC27" i="26"/>
  <c r="N80" i="22" l="1"/>
  <c r="F85" i="22"/>
  <c r="V64" i="22"/>
  <c r="V82" i="22" s="1"/>
  <c r="W85" i="22"/>
  <c r="V38" i="22"/>
  <c r="AC24" i="26"/>
  <c r="E73" i="26"/>
  <c r="E89" i="26" s="1"/>
  <c r="E92" i="26" s="1"/>
  <c r="E65" i="26"/>
  <c r="E87" i="26" s="1"/>
  <c r="G73" i="26"/>
  <c r="G89" i="26" s="1"/>
  <c r="G92" i="26" s="1"/>
  <c r="AC6" i="26"/>
  <c r="G65" i="26"/>
  <c r="G87" i="26" s="1"/>
  <c r="AC25" i="26"/>
  <c r="T63" i="22"/>
  <c r="T80" i="22" s="1"/>
  <c r="W63" i="22" l="1"/>
  <c r="W80" i="22" s="1"/>
  <c r="V66" i="22"/>
  <c r="V83" i="22" s="1"/>
  <c r="V85" i="22" s="1"/>
  <c r="V63" i="22"/>
  <c r="V80" i="22" s="1"/>
  <c r="Y65" i="26" l="1"/>
  <c r="Y87" i="26" s="1"/>
  <c r="Y74" i="26"/>
  <c r="Y91" i="26" s="1"/>
  <c r="Y92" i="26" s="1"/>
  <c r="AC15" i="26"/>
  <c r="S82" i="22"/>
  <c r="S83" i="22"/>
  <c r="AC73" i="26" l="1"/>
  <c r="AC89" i="26" s="1"/>
  <c r="AC65" i="26"/>
  <c r="AC74" i="26"/>
  <c r="AC91" i="26" s="1"/>
  <c r="U84" i="22"/>
  <c r="I84" i="22"/>
  <c r="I82" i="22"/>
  <c r="D71" i="26"/>
  <c r="AB85" i="26"/>
  <c r="AE78" i="26"/>
  <c r="AE87" i="26" s="1"/>
  <c r="AC92" i="26" l="1"/>
  <c r="AE93" i="26"/>
  <c r="AC87" i="26"/>
  <c r="AB79" i="26"/>
  <c r="T78" i="26"/>
  <c r="G9" i="18"/>
  <c r="G31" i="18" l="1"/>
  <c r="G30" i="18" l="1"/>
  <c r="AB60" i="26" l="1"/>
  <c r="F10" i="23" l="1"/>
  <c r="H10" i="23"/>
  <c r="J10" i="23"/>
  <c r="L10" i="23"/>
  <c r="N10" i="23"/>
  <c r="P10" i="23"/>
  <c r="D10" i="23"/>
  <c r="AD89" i="26"/>
  <c r="F84" i="26"/>
  <c r="H84" i="26"/>
  <c r="J84" i="26"/>
  <c r="AD84" i="26"/>
  <c r="D84" i="26"/>
  <c r="M84" i="22"/>
  <c r="O84" i="22"/>
  <c r="Q84" i="22"/>
  <c r="S84" i="22"/>
  <c r="Q77" i="22"/>
  <c r="S77" i="22"/>
  <c r="I67" i="22"/>
  <c r="O67" i="22"/>
  <c r="Q67" i="22"/>
  <c r="S67" i="22"/>
  <c r="D14" i="30"/>
  <c r="P16" i="31"/>
  <c r="N16" i="31"/>
  <c r="L16" i="31"/>
  <c r="J16" i="31"/>
  <c r="H16" i="31"/>
  <c r="F16" i="31"/>
  <c r="D16" i="31"/>
  <c r="P15" i="31"/>
  <c r="N15" i="31"/>
  <c r="L15" i="31"/>
  <c r="J15" i="31"/>
  <c r="H15" i="31"/>
  <c r="F15" i="31"/>
  <c r="D15" i="31"/>
  <c r="P14" i="31"/>
  <c r="N14" i="31"/>
  <c r="L14" i="31"/>
  <c r="J14" i="31"/>
  <c r="H14" i="31"/>
  <c r="F14" i="31"/>
  <c r="D14" i="31"/>
  <c r="T13" i="31"/>
  <c r="T9" i="31"/>
  <c r="T8" i="31"/>
  <c r="T7" i="31"/>
  <c r="T16" i="31" s="1"/>
  <c r="T15" i="31"/>
  <c r="T16" i="30"/>
  <c r="R16" i="30"/>
  <c r="P16" i="30"/>
  <c r="N16" i="30"/>
  <c r="L16" i="30"/>
  <c r="J16" i="30"/>
  <c r="H16" i="30"/>
  <c r="F16" i="30"/>
  <c r="D16" i="30"/>
  <c r="T15" i="30"/>
  <c r="R15" i="30"/>
  <c r="P15" i="30"/>
  <c r="N15" i="30"/>
  <c r="L15" i="30"/>
  <c r="J15" i="30"/>
  <c r="H15" i="30"/>
  <c r="F15" i="30"/>
  <c r="D15" i="30"/>
  <c r="T14" i="30"/>
  <c r="R14" i="30"/>
  <c r="P14" i="30"/>
  <c r="N14" i="30"/>
  <c r="L14" i="30"/>
  <c r="J14" i="30"/>
  <c r="H14" i="30"/>
  <c r="F14" i="30"/>
  <c r="V13" i="30"/>
  <c r="V9" i="30"/>
  <c r="V8" i="30"/>
  <c r="V7" i="30"/>
  <c r="V6" i="30"/>
  <c r="V15" i="30" s="1"/>
  <c r="G27" i="18"/>
  <c r="G24" i="18"/>
  <c r="V16" i="30" l="1"/>
  <c r="G25" i="18"/>
  <c r="AB84" i="26"/>
  <c r="T14" i="31"/>
  <c r="V14" i="30"/>
  <c r="AB46" i="26"/>
  <c r="AB47" i="26"/>
  <c r="AB50" i="26"/>
  <c r="AB51" i="26"/>
  <c r="AB58" i="26"/>
  <c r="AB44" i="26" l="1"/>
  <c r="AB45" i="26" l="1"/>
  <c r="Q91" i="22" l="1"/>
  <c r="AB43" i="26"/>
  <c r="R74" i="26" l="1"/>
  <c r="R91" i="26" s="1"/>
  <c r="R73" i="26"/>
  <c r="R89" i="26" s="1"/>
  <c r="R65" i="26"/>
  <c r="R87" i="26" s="1"/>
  <c r="G15" i="18"/>
  <c r="AB22" i="26" l="1"/>
  <c r="AB5" i="26" l="1"/>
  <c r="AB6" i="26"/>
  <c r="F90" i="26" l="1"/>
  <c r="H90" i="26"/>
  <c r="J90" i="26"/>
  <c r="L90" i="26"/>
  <c r="N90" i="26"/>
  <c r="P90" i="26"/>
  <c r="R90" i="26"/>
  <c r="R92" i="26" s="1"/>
  <c r="T90" i="26"/>
  <c r="V90" i="26"/>
  <c r="X90" i="26"/>
  <c r="Z90" i="26"/>
  <c r="AB32" i="26" l="1"/>
  <c r="G12" i="18"/>
  <c r="G13" i="18"/>
  <c r="G14" i="18"/>
  <c r="AB29" i="26" l="1"/>
  <c r="AB28" i="26"/>
  <c r="AB8" i="26"/>
  <c r="AB7" i="26"/>
  <c r="AD90" i="26" l="1"/>
  <c r="H10" i="27"/>
  <c r="J10" i="27"/>
  <c r="L10" i="27"/>
  <c r="N10" i="27"/>
  <c r="P10" i="27"/>
  <c r="R10" i="27"/>
  <c r="T10" i="27"/>
  <c r="F10" i="27"/>
  <c r="D10" i="27"/>
  <c r="AB15" i="26"/>
  <c r="D90" i="26"/>
  <c r="G33" i="18"/>
  <c r="G29" i="18"/>
  <c r="G28" i="18"/>
  <c r="G23" i="18"/>
  <c r="G22" i="18"/>
  <c r="G21" i="18"/>
  <c r="G20" i="18"/>
  <c r="G19" i="18"/>
  <c r="G18" i="18"/>
  <c r="G17" i="18"/>
  <c r="G16" i="18"/>
  <c r="G46" i="18" l="1"/>
  <c r="G48" i="18"/>
  <c r="G49" i="18"/>
  <c r="G50" i="18"/>
  <c r="G9" i="20" l="1"/>
  <c r="G8" i="20"/>
  <c r="G39" i="18"/>
  <c r="G44" i="18"/>
  <c r="G35" i="18"/>
  <c r="G38" i="18"/>
  <c r="G51" i="18"/>
  <c r="G52" i="18"/>
  <c r="G53" i="18"/>
  <c r="G54" i="18"/>
  <c r="G14" i="20" l="1"/>
  <c r="G8" i="18"/>
  <c r="G34" i="18" s="1"/>
  <c r="T9" i="29" l="1"/>
  <c r="R9" i="29"/>
  <c r="P9" i="29"/>
  <c r="N9" i="29"/>
  <c r="L9" i="29"/>
  <c r="J9" i="29"/>
  <c r="H9" i="29"/>
  <c r="F9" i="29"/>
  <c r="D9" i="29"/>
  <c r="T8" i="29"/>
  <c r="R8" i="29"/>
  <c r="P8" i="29"/>
  <c r="N8" i="29"/>
  <c r="L8" i="29"/>
  <c r="J8" i="29"/>
  <c r="H8" i="29"/>
  <c r="F8" i="29"/>
  <c r="D8" i="29"/>
  <c r="T7" i="29"/>
  <c r="R7" i="29"/>
  <c r="P7" i="29"/>
  <c r="N7" i="29"/>
  <c r="L7" i="29"/>
  <c r="J7" i="29"/>
  <c r="H7" i="29"/>
  <c r="F7" i="29"/>
  <c r="D7" i="29"/>
  <c r="V9" i="29"/>
  <c r="V5" i="29"/>
  <c r="V8" i="29" s="1"/>
  <c r="T19" i="28"/>
  <c r="R19" i="28"/>
  <c r="P19" i="28"/>
  <c r="N19" i="28"/>
  <c r="L19" i="28"/>
  <c r="J19" i="28"/>
  <c r="F19" i="28"/>
  <c r="D19" i="28"/>
  <c r="T18" i="28"/>
  <c r="R18" i="28"/>
  <c r="P18" i="28"/>
  <c r="N18" i="28"/>
  <c r="L18" i="28"/>
  <c r="J18" i="28"/>
  <c r="H18" i="28"/>
  <c r="F18" i="28"/>
  <c r="D18" i="28"/>
  <c r="T17" i="28"/>
  <c r="R17" i="28"/>
  <c r="P17" i="28"/>
  <c r="N17" i="28"/>
  <c r="L17" i="28"/>
  <c r="J17" i="28"/>
  <c r="F17" i="28"/>
  <c r="D17" i="28"/>
  <c r="V16" i="28"/>
  <c r="V15" i="28"/>
  <c r="V14" i="28"/>
  <c r="V13" i="28"/>
  <c r="V12" i="28"/>
  <c r="V11" i="28"/>
  <c r="X10" i="28"/>
  <c r="V10" i="28"/>
  <c r="V9" i="28"/>
  <c r="V8" i="28"/>
  <c r="V7" i="28"/>
  <c r="V6" i="28"/>
  <c r="V5" i="28"/>
  <c r="T9" i="27"/>
  <c r="R9" i="27"/>
  <c r="P9" i="27"/>
  <c r="N9" i="27"/>
  <c r="L9" i="27"/>
  <c r="J9" i="27"/>
  <c r="H9" i="27"/>
  <c r="F9" i="27"/>
  <c r="T8" i="27"/>
  <c r="R8" i="27"/>
  <c r="P8" i="27"/>
  <c r="N8" i="27"/>
  <c r="L8" i="27"/>
  <c r="J8" i="27"/>
  <c r="H8" i="27"/>
  <c r="F8" i="27"/>
  <c r="V7" i="27"/>
  <c r="X7" i="27" s="1"/>
  <c r="D9" i="27"/>
  <c r="AD81" i="26"/>
  <c r="X81" i="26"/>
  <c r="V81" i="26"/>
  <c r="T81" i="26"/>
  <c r="P81" i="26"/>
  <c r="N81" i="26"/>
  <c r="L81" i="26"/>
  <c r="J81" i="26"/>
  <c r="H81" i="26"/>
  <c r="F81" i="26"/>
  <c r="D81" i="26"/>
  <c r="AD78" i="26"/>
  <c r="J78" i="26"/>
  <c r="H78" i="26"/>
  <c r="F78" i="26"/>
  <c r="D78" i="26"/>
  <c r="AB90" i="26"/>
  <c r="AD75" i="26"/>
  <c r="Z75" i="26"/>
  <c r="X75" i="26"/>
  <c r="V75" i="26"/>
  <c r="T75" i="26"/>
  <c r="P75" i="26"/>
  <c r="N75" i="26"/>
  <c r="L75" i="26"/>
  <c r="J75" i="26"/>
  <c r="H75" i="26"/>
  <c r="F75" i="26"/>
  <c r="D75" i="26"/>
  <c r="AD74" i="26"/>
  <c r="AD91" i="26" s="1"/>
  <c r="Z74" i="26"/>
  <c r="Z91" i="26" s="1"/>
  <c r="V74" i="26"/>
  <c r="V91" i="26" s="1"/>
  <c r="P74" i="26"/>
  <c r="P91" i="26" s="1"/>
  <c r="N74" i="26"/>
  <c r="N91" i="26" s="1"/>
  <c r="J74" i="26"/>
  <c r="J91" i="26" s="1"/>
  <c r="H74" i="26"/>
  <c r="H91" i="26" s="1"/>
  <c r="F74" i="26"/>
  <c r="F91" i="26" s="1"/>
  <c r="D74" i="26"/>
  <c r="D91" i="26" s="1"/>
  <c r="Z73" i="26"/>
  <c r="Z89" i="26" s="1"/>
  <c r="X73" i="26"/>
  <c r="X89" i="26" s="1"/>
  <c r="V73" i="26"/>
  <c r="V89" i="26" s="1"/>
  <c r="P73" i="26"/>
  <c r="P89" i="26" s="1"/>
  <c r="N73" i="26"/>
  <c r="N89" i="26" s="1"/>
  <c r="H73" i="26"/>
  <c r="H89" i="26" s="1"/>
  <c r="F73" i="26"/>
  <c r="F89" i="26" s="1"/>
  <c r="D73" i="26"/>
  <c r="D89" i="26" s="1"/>
  <c r="AD65" i="26"/>
  <c r="Z65" i="26"/>
  <c r="X65" i="26"/>
  <c r="V65" i="26"/>
  <c r="T65" i="26"/>
  <c r="P65" i="26"/>
  <c r="N65" i="26"/>
  <c r="J65" i="26"/>
  <c r="F65" i="26"/>
  <c r="AB64" i="26"/>
  <c r="AB42" i="26"/>
  <c r="AB41" i="26"/>
  <c r="J73" i="26"/>
  <c r="J89" i="26" s="1"/>
  <c r="AB40" i="26"/>
  <c r="AB39" i="26"/>
  <c r="AB38" i="26"/>
  <c r="AB37" i="26"/>
  <c r="AB36" i="26"/>
  <c r="AI35" i="26"/>
  <c r="L73" i="26"/>
  <c r="L89" i="26" s="1"/>
  <c r="AB34" i="26"/>
  <c r="AB33" i="26"/>
  <c r="AB31" i="26"/>
  <c r="AB30" i="26"/>
  <c r="AB27" i="26"/>
  <c r="L74" i="26"/>
  <c r="L91" i="26" s="1"/>
  <c r="AB26" i="26"/>
  <c r="AB25" i="26"/>
  <c r="AB24" i="26"/>
  <c r="AB23" i="26"/>
  <c r="AB21" i="26"/>
  <c r="AB20" i="26"/>
  <c r="AB19" i="26"/>
  <c r="AB18" i="26"/>
  <c r="AB17" i="26"/>
  <c r="AB16" i="26"/>
  <c r="AB14" i="26"/>
  <c r="X74" i="26"/>
  <c r="X91" i="26" s="1"/>
  <c r="AB13" i="26"/>
  <c r="AB12" i="26"/>
  <c r="AB11" i="26"/>
  <c r="T74" i="26"/>
  <c r="T91" i="26" s="1"/>
  <c r="AB10" i="26"/>
  <c r="H65" i="26"/>
  <c r="AB9" i="26"/>
  <c r="T73" i="26"/>
  <c r="T89" i="26" s="1"/>
  <c r="P9" i="25"/>
  <c r="N9" i="25"/>
  <c r="L9" i="25"/>
  <c r="J9" i="25"/>
  <c r="H9" i="25"/>
  <c r="F9" i="25"/>
  <c r="D9" i="25"/>
  <c r="P8" i="25"/>
  <c r="N8" i="25"/>
  <c r="L8" i="25"/>
  <c r="J8" i="25"/>
  <c r="H8" i="25"/>
  <c r="F8" i="25"/>
  <c r="D8" i="25"/>
  <c r="P7" i="25"/>
  <c r="N7" i="25"/>
  <c r="L7" i="25"/>
  <c r="J7" i="25"/>
  <c r="H7" i="25"/>
  <c r="F7" i="25"/>
  <c r="D7" i="25"/>
  <c r="R7" i="25" s="1"/>
  <c r="R6" i="25"/>
  <c r="R9" i="25" s="1"/>
  <c r="R5" i="25"/>
  <c r="R8" i="25" s="1"/>
  <c r="N19" i="24"/>
  <c r="L19" i="24"/>
  <c r="J19" i="24"/>
  <c r="H19" i="24"/>
  <c r="F19" i="24"/>
  <c r="D19" i="24"/>
  <c r="N18" i="24"/>
  <c r="L18" i="24"/>
  <c r="J18" i="24"/>
  <c r="H18" i="24"/>
  <c r="F18" i="24"/>
  <c r="D18" i="24"/>
  <c r="N17" i="24"/>
  <c r="L17" i="24"/>
  <c r="J17" i="24"/>
  <c r="H17" i="24"/>
  <c r="F17" i="24"/>
  <c r="D17" i="24"/>
  <c r="T16" i="24"/>
  <c r="T15" i="24"/>
  <c r="T14" i="24"/>
  <c r="T13" i="24"/>
  <c r="T12" i="24"/>
  <c r="T11" i="24"/>
  <c r="P18" i="24"/>
  <c r="T9" i="24"/>
  <c r="T8" i="24"/>
  <c r="T7" i="24"/>
  <c r="T19" i="24" s="1"/>
  <c r="P19" i="24"/>
  <c r="T6" i="24"/>
  <c r="T5" i="24"/>
  <c r="N9" i="23"/>
  <c r="L9" i="23"/>
  <c r="J9" i="23"/>
  <c r="H9" i="23"/>
  <c r="F9" i="23"/>
  <c r="D9" i="23"/>
  <c r="N8" i="23"/>
  <c r="L8" i="23"/>
  <c r="J8" i="23"/>
  <c r="H8" i="23"/>
  <c r="F8" i="23"/>
  <c r="D8" i="23"/>
  <c r="V7" i="23"/>
  <c r="P9" i="23"/>
  <c r="T10" i="23"/>
  <c r="H87" i="26" l="1"/>
  <c r="N87" i="26"/>
  <c r="X87" i="26"/>
  <c r="T87" i="26"/>
  <c r="X9" i="27"/>
  <c r="P87" i="26"/>
  <c r="V87" i="26"/>
  <c r="Z87" i="26"/>
  <c r="J87" i="26"/>
  <c r="AD87" i="26"/>
  <c r="F87" i="26"/>
  <c r="D87" i="26"/>
  <c r="F92" i="26"/>
  <c r="AD92" i="26"/>
  <c r="V18" i="28"/>
  <c r="AB78" i="26"/>
  <c r="H92" i="26"/>
  <c r="AB81" i="26"/>
  <c r="J92" i="26"/>
  <c r="Z92" i="26"/>
  <c r="T92" i="26"/>
  <c r="D92" i="26"/>
  <c r="L92" i="26"/>
  <c r="P92" i="26"/>
  <c r="T18" i="24"/>
  <c r="V7" i="29"/>
  <c r="V19" i="28"/>
  <c r="H17" i="28"/>
  <c r="H19" i="28"/>
  <c r="V17" i="28"/>
  <c r="V5" i="27"/>
  <c r="D8" i="27"/>
  <c r="N92" i="26"/>
  <c r="V92" i="26"/>
  <c r="X92" i="26"/>
  <c r="AB35" i="26"/>
  <c r="AB65" i="26" s="1"/>
  <c r="L65" i="26"/>
  <c r="L87" i="26" s="1"/>
  <c r="P17" i="24"/>
  <c r="T17" i="24"/>
  <c r="T7" i="23"/>
  <c r="T9" i="23" s="1"/>
  <c r="P8" i="23"/>
  <c r="AD93" i="26" l="1"/>
  <c r="V10" i="27"/>
  <c r="X5" i="27"/>
  <c r="AB87" i="26"/>
  <c r="T8" i="23"/>
  <c r="AB73" i="26"/>
  <c r="AB89" i="26" s="1"/>
  <c r="AB74" i="26"/>
  <c r="AB91" i="26" s="1"/>
  <c r="V9" i="27"/>
  <c r="V8" i="27"/>
  <c r="X10" i="27" l="1"/>
  <c r="X8" i="27"/>
  <c r="AB92" i="26"/>
  <c r="U74" i="22"/>
  <c r="S74" i="22"/>
  <c r="Q74" i="22"/>
  <c r="O74" i="22"/>
  <c r="M74" i="22"/>
  <c r="I74" i="22"/>
  <c r="U71" i="22"/>
  <c r="S71" i="22"/>
  <c r="Q71" i="22"/>
  <c r="O71" i="22"/>
  <c r="M71" i="22"/>
  <c r="I71" i="22"/>
  <c r="U67" i="22"/>
  <c r="Q83" i="22"/>
  <c r="O83" i="22"/>
  <c r="M83" i="22"/>
  <c r="I66" i="22"/>
  <c r="S63" i="22"/>
  <c r="Q63" i="22"/>
  <c r="O63" i="22"/>
  <c r="M63" i="22"/>
  <c r="I63" i="22"/>
  <c r="I83" i="22" l="1"/>
  <c r="I85" i="22" s="1"/>
  <c r="U66" i="22"/>
  <c r="U83" i="22" s="1"/>
  <c r="U85" i="22" s="1"/>
  <c r="I80" i="22"/>
  <c r="O80" i="22"/>
  <c r="S80" i="22"/>
  <c r="M80" i="22"/>
  <c r="Q80" i="22"/>
  <c r="U63" i="22"/>
  <c r="U80" i="22" s="1"/>
  <c r="O82" i="22"/>
  <c r="O85" i="22" s="1"/>
  <c r="Q82" i="22"/>
  <c r="Q85" i="22" s="1"/>
  <c r="S85" i="22"/>
  <c r="M82" i="22"/>
  <c r="M85" i="22" s="1"/>
  <c r="C92" i="5" l="1"/>
  <c r="C91" i="6"/>
  <c r="C92" i="6" l="1"/>
  <c r="C91" i="5"/>
  <c r="C91" i="4"/>
  <c r="D92" i="1"/>
  <c r="C92" i="4"/>
  <c r="D91" i="1"/>
</calcChain>
</file>

<file path=xl/sharedStrings.xml><?xml version="1.0" encoding="utf-8"?>
<sst xmlns="http://schemas.openxmlformats.org/spreadsheetml/2006/main" count="1757" uniqueCount="525">
  <si>
    <t>Medgyesegyháza Városi Önkormányzat</t>
  </si>
  <si>
    <t>BEVÉTELEK</t>
  </si>
  <si>
    <t>Bevételi jogcímek</t>
  </si>
  <si>
    <t>1.</t>
  </si>
  <si>
    <t>Sor-
szám</t>
  </si>
  <si>
    <t>2.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</si>
  <si>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</si>
  <si>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</si>
  <si>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</si>
  <si>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</si>
  <si>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</si>
  <si>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</si>
  <si>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</si>
  <si>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</si>
  <si>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</si>
  <si>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</t>
  </si>
  <si>
    <t>Önkormányzatok működési támogatásai (1.1+……+1.6.)</t>
  </si>
  <si>
    <t>3.1.</t>
  </si>
  <si>
    <t>3.2.</t>
  </si>
  <si>
    <t>3.3.</t>
  </si>
  <si>
    <t>4.</t>
  </si>
  <si>
    <t>Közhatalmi bevételek (4.1+4.2.+4.3.+4.4.)</t>
  </si>
  <si>
    <t>4.1.</t>
  </si>
  <si>
    <t>4.1.1.</t>
  </si>
  <si>
    <t>4.1.2.</t>
  </si>
  <si>
    <t>4.1.3.</t>
  </si>
  <si>
    <t>4.2.</t>
  </si>
  <si>
    <t>4.3.</t>
  </si>
  <si>
    <t>4.4.</t>
  </si>
  <si>
    <t>5.</t>
  </si>
  <si>
    <t>Helyi önkormányzatok működésének általános támogatása</t>
  </si>
  <si>
    <t>Önkormányzatok egyes köznevelési feladatainak támogatása</t>
  </si>
  <si>
    <t>Önkormányzatok szociális és gyermjóléti feladatainak támogatása</t>
  </si>
  <si>
    <t>Önkormányzatok kulturális feladatainak támogatása</t>
  </si>
  <si>
    <t>Működési célú költségvetési támogatások és kiegészítő támogatások</t>
  </si>
  <si>
    <t>Elszámolásból származő bevételek</t>
  </si>
  <si>
    <t>Elvonások és befizetések bevételei</t>
  </si>
  <si>
    <t>Egyéb működési célú támogatások bevételei</t>
  </si>
  <si>
    <t>2.2.-ből EU-s támogatás</t>
  </si>
  <si>
    <t>Működési célú támogatások ÁHT-n belülről (2.1+2.2.)</t>
  </si>
  <si>
    <t>Felhalmozási célú önkormányzati támogatások</t>
  </si>
  <si>
    <t>Egyéb felhalmozási célú támogatások</t>
  </si>
  <si>
    <t>3.2.-ből EU-s támogatás</t>
  </si>
  <si>
    <t>Felhalmozási célú támogatások ÁHT-n belülről (3.1.+3.2.)</t>
  </si>
  <si>
    <t>Helyi adók (4.1.1.+….+4.1.3)</t>
  </si>
  <si>
    <t>Vagyoni típusú adók</t>
  </si>
  <si>
    <t>Értékesítési és forgalmi adók (iparűzési adó)</t>
  </si>
  <si>
    <t>Gépjárműadó</t>
  </si>
  <si>
    <t>Egyéb áruhasználati és szolgáltatási adók</t>
  </si>
  <si>
    <t>Egyéb közhatalmi bevételek</t>
  </si>
  <si>
    <t xml:space="preserve">Működési bevételek </t>
  </si>
  <si>
    <t>6.</t>
  </si>
  <si>
    <t>Felhalmozási bevételek</t>
  </si>
  <si>
    <t>7.</t>
  </si>
  <si>
    <t>Működési célő átvett pénzeszközök</t>
  </si>
  <si>
    <t>8.</t>
  </si>
  <si>
    <t>Felhalmozási célú átvett pénzeszközök</t>
  </si>
  <si>
    <t>9.</t>
  </si>
  <si>
    <t>10.</t>
  </si>
  <si>
    <t>Hitel-, kölcsönfelévtel államháztartáson kívülről (10.1+…+10.3</t>
  </si>
  <si>
    <t>10.1.</t>
  </si>
  <si>
    <t>Hosszú lejűratú hitelek, kölcsönök felvétele</t>
  </si>
  <si>
    <t>10.2.</t>
  </si>
  <si>
    <t>Likviditási célú hitelek, kölcsönök felvétele pénzügyi vállalkozástól</t>
  </si>
  <si>
    <t>10.3.</t>
  </si>
  <si>
    <t>Rövid lejáratú hitelek, kölcsönök felvétele</t>
  </si>
  <si>
    <t>11.</t>
  </si>
  <si>
    <t>Belföldi értékpapírok bevételei</t>
  </si>
  <si>
    <t>12.</t>
  </si>
  <si>
    <t>Előző évi költségvetési maradvány igánybe vétele</t>
  </si>
  <si>
    <t>13.</t>
  </si>
  <si>
    <t>Belföldi finanszírozás bevételei (13.1.+13.2.)</t>
  </si>
  <si>
    <t>13.1.</t>
  </si>
  <si>
    <t>Államháztartáson belüli megelőlegezések</t>
  </si>
  <si>
    <t>13.2.</t>
  </si>
  <si>
    <t>Államháztartáson belüli megelőlegezések törlesztése</t>
  </si>
  <si>
    <t>14.</t>
  </si>
  <si>
    <t>Külföldi finanszírozás bevételei</t>
  </si>
  <si>
    <t>15.</t>
  </si>
  <si>
    <t>Váltóbevételek</t>
  </si>
  <si>
    <t xml:space="preserve">16. </t>
  </si>
  <si>
    <t>Adóssághoz nem kapcsolódó származékos ügyletek bevételei</t>
  </si>
  <si>
    <t>17.</t>
  </si>
  <si>
    <t>FINANSZÍROZÁSI BEVÉTELEK ÖSSZESEN:(10.+…+16.)</t>
  </si>
  <si>
    <t>18.</t>
  </si>
  <si>
    <t>KÖLTSÉGVETÉSI ÉS FINANSZÍROZÁSI BEVÉTELEK
ÖSSZESEN: (9.+17.)</t>
  </si>
  <si>
    <t>1.  számú táblázat</t>
  </si>
  <si>
    <t>KIADÁSOK</t>
  </si>
  <si>
    <t>2. számú táblázat</t>
  </si>
  <si>
    <t>Kiadási jogcímek</t>
  </si>
  <si>
    <t>Személyi juttatások</t>
  </si>
  <si>
    <t>Munkaadókat terhelő járulékok és szochó</t>
  </si>
  <si>
    <t>Dologi kiadások</t>
  </si>
  <si>
    <t>Ellátottak pénzbeli juttatásai</t>
  </si>
  <si>
    <t>Egyéb működési célú kiadások</t>
  </si>
  <si>
    <t>1.5.-ből Előző évi elszámolásből származó befizetések</t>
  </si>
  <si>
    <t>1.7.</t>
  </si>
  <si>
    <t>1.8.</t>
  </si>
  <si>
    <t>1.9.</t>
  </si>
  <si>
    <t>1.10.</t>
  </si>
  <si>
    <t>1.11.</t>
  </si>
  <si>
    <t>Tartalékok</t>
  </si>
  <si>
    <t xml:space="preserve">             Törvényi előírásokon alapuló befizetések</t>
  </si>
  <si>
    <t>1.12.</t>
  </si>
  <si>
    <t>1.11.-ből: Általános tartalék</t>
  </si>
  <si>
    <t>1.13.</t>
  </si>
  <si>
    <t xml:space="preserve">                 Céltartalék</t>
  </si>
  <si>
    <t>Működési költségvetés kiadásai (1.1.+…+1.5.+1.11.)</t>
  </si>
  <si>
    <t>Beruházások</t>
  </si>
  <si>
    <t>2.2</t>
  </si>
  <si>
    <t>2.1.-ből EU-s forrásból megvalósuló beruházás</t>
  </si>
  <si>
    <t>Felújítások</t>
  </si>
  <si>
    <t>2.4.</t>
  </si>
  <si>
    <t>2.3.-ból EU-s forrásból megvalósuló felújítás</t>
  </si>
  <si>
    <t>2.5.</t>
  </si>
  <si>
    <t>Egyéb felhalmozási kiadások</t>
  </si>
  <si>
    <t>2.6.</t>
  </si>
  <si>
    <t>2.5.-ből Egyéb felhalmozási kiadás ÁHT-n belülre</t>
  </si>
  <si>
    <t>2.7.</t>
  </si>
  <si>
    <t xml:space="preserve">              Egyéb felhalmozási kiadás ÁHT-n kívülre</t>
  </si>
  <si>
    <t>Felhalmozási költségvetési kiadások (2.1.+2.3.+2.5.)</t>
  </si>
  <si>
    <t>KÖLTSÉGVETÉSI KIADÁSOK ÖSSZESEN: (1.+2.)</t>
  </si>
  <si>
    <t>Hosszú lejáratú hitelek, kölcsönök törlesztése pü vállalkozásoknak</t>
  </si>
  <si>
    <t>Likviditási célú hitelek, kölcsönök törlesztése pü vállalkozásoknak</t>
  </si>
  <si>
    <t>Rövid lejáratú hitelek, kölcsönök törlesztése pü vállalkozásoknak</t>
  </si>
  <si>
    <t>Hitel-, kölcsöntörlesztés államháztartáson kívülre (4.1.+…+4.3.)</t>
  </si>
  <si>
    <t>Belföldi értékpapírok vásárlásai</t>
  </si>
  <si>
    <t>6.1.</t>
  </si>
  <si>
    <t>Államháztartáson belüli megelőlegezések visszafizetése</t>
  </si>
  <si>
    <t>Belföldi finanszírozás kiadásai (=6.1.)</t>
  </si>
  <si>
    <t>Külföldi finanszírozás kiadásai</t>
  </si>
  <si>
    <t>Adóssághoz nem kapcsolódó származékos  ügyletek</t>
  </si>
  <si>
    <t xml:space="preserve">9. </t>
  </si>
  <si>
    <t>Váltókiadások</t>
  </si>
  <si>
    <t>FINANSZÍROZÁSI KIADÁSOK ÖSSZESEN: (4.+…+9.)</t>
  </si>
  <si>
    <t>KIADÁSOK ÖSSZESEN: (3+10)</t>
  </si>
  <si>
    <t>KÖLTSÉGVETÉSI BEVÉTELEK ÖSSZESEN: (1+…+8)</t>
  </si>
  <si>
    <t xml:space="preserve">             Elvonások befizetések</t>
  </si>
  <si>
    <t xml:space="preserve">             Egyéb működési célú támogatások ÁHT-n belülre</t>
  </si>
  <si>
    <t xml:space="preserve">             Egyéb működési célú támogatások ÁHT-n kívülre</t>
  </si>
  <si>
    <t>KÖLTSÉGVETÉSI, FINANSZÍROZOZÁSI BEVÉTELEK ÉS KIADÁSOK EGYENLEGE</t>
  </si>
  <si>
    <t>3. számú táblázat</t>
  </si>
  <si>
    <t>Költségvetési hiány, többlet (költségvetési bevételek 9. sor -
 költségvetési kiadások 3. sor) (+/-)</t>
  </si>
  <si>
    <t>Finanszírozási bevételek kiadások egyenlege (finanszírozási bevételek 17. sor - finanszírozási kiadások 10. sor) (+/-)</t>
  </si>
  <si>
    <t>I. Működési bevételek és kiadások mérlege</t>
  </si>
  <si>
    <t>(önkormányzati szinten)</t>
  </si>
  <si>
    <t>Bevétel</t>
  </si>
  <si>
    <t>Kiadás</t>
  </si>
  <si>
    <t>A</t>
  </si>
  <si>
    <t>C</t>
  </si>
  <si>
    <t>D</t>
  </si>
  <si>
    <t>E</t>
  </si>
  <si>
    <t>Önkormányzatok működési támogatásai</t>
  </si>
  <si>
    <t>Működési célú támogatások ÁHT-n belülről</t>
  </si>
  <si>
    <t>Munkaadókat terhelő járulékok és SZOCHÓ</t>
  </si>
  <si>
    <t>16.</t>
  </si>
  <si>
    <t>2.-ből EU-s támogatás</t>
  </si>
  <si>
    <t>Közhatalmi bevételek</t>
  </si>
  <si>
    <t>Működési bevételek</t>
  </si>
  <si>
    <t>Működési célú átvett pénzeszközök</t>
  </si>
  <si>
    <t>6.-ból EU-s támogatás (közvetlen)</t>
  </si>
  <si>
    <t>Költségvetési bevételek összesen: (1.+…+6.)</t>
  </si>
  <si>
    <t>Költségvetési kiadások összesen: (1.+…+6)</t>
  </si>
  <si>
    <t>Költségvetési maradvány igénybe vétele</t>
  </si>
  <si>
    <t>Likviditási célú hitelek, kölcsönök felvétele</t>
  </si>
  <si>
    <t>Hiány belső finanszírozásának bevételei (=10)</t>
  </si>
  <si>
    <t>Hiány külső finanszírozásának bevételei (=12)</t>
  </si>
  <si>
    <t>Működési célú finanszírozási bevételek összesen: (9.+11.)</t>
  </si>
  <si>
    <t>BEVÉTELEK ÖSSZESEN: (8.+13.)</t>
  </si>
  <si>
    <t>Likviditási célú hitelek törlesztése</t>
  </si>
  <si>
    <t>B</t>
  </si>
  <si>
    <t>KIADÁSOK ÖSSZESEN: (8.+13.)</t>
  </si>
  <si>
    <t>Költségvetési többlet:</t>
  </si>
  <si>
    <t>Költségvetési hiány:</t>
  </si>
  <si>
    <t>Tárgyévi hiány:</t>
  </si>
  <si>
    <t>Tárgyévi többlet:</t>
  </si>
  <si>
    <t>I .Felhalmozási célú bevételek és kiadások mérlege</t>
  </si>
  <si>
    <t xml:space="preserve">Felhalmozási célú támogatások ÁHT-n belülről </t>
  </si>
  <si>
    <t>1.-ből EU-s támogatás</t>
  </si>
  <si>
    <t>Felhalmozási célú átvett pénzeszközök átvétele</t>
  </si>
  <si>
    <t xml:space="preserve">4.-ből EU-s támogatás </t>
  </si>
  <si>
    <t>Egyéb felhalmozási célú bevételek</t>
  </si>
  <si>
    <t>3.-ból EU-s forrásból megvalósuló felújítás</t>
  </si>
  <si>
    <t>Költségvetési bevételek összesen: (1.+3.+4.+6.)</t>
  </si>
  <si>
    <t>Hitelek, kölcsönök felvétele</t>
  </si>
  <si>
    <t>Hitelek törlesztése</t>
  </si>
  <si>
    <t>Felhalmozási célú finanszírozási bevételek összesen: (9.+11.)</t>
  </si>
  <si>
    <t>Felhalmozási célú finanszírozási kiadások összesen: (9.+…+12)</t>
  </si>
  <si>
    <t>Megnevezés</t>
  </si>
  <si>
    <t>F</t>
  </si>
  <si>
    <t>Beruházási (felhalmozási) kiadások előírányzata beruházásonként</t>
  </si>
  <si>
    <t>F=(B-D-E)</t>
  </si>
  <si>
    <t>Beruházás megnevezése</t>
  </si>
  <si>
    <t>Teljes költség</t>
  </si>
  <si>
    <t>Kivitelezés kezdési 
és befejezési éve</t>
  </si>
  <si>
    <t>Összesen:</t>
  </si>
  <si>
    <t>Felújítási kiadások előírányzata felújításonként</t>
  </si>
  <si>
    <t>Felújítás megnevezése</t>
  </si>
  <si>
    <t>G</t>
  </si>
  <si>
    <t>H</t>
  </si>
  <si>
    <t>I</t>
  </si>
  <si>
    <t>J</t>
  </si>
  <si>
    <t>kötelező/nem kötelező</t>
  </si>
  <si>
    <t>Kiemelt előirányzatok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</si>
  <si>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</si>
  <si>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</si>
  <si>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</si>
  <si>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célra átvett pénzeszközök</t>
  </si>
  <si>
    <t>Bevételek összesen</t>
  </si>
  <si>
    <t>2014. évi teljesítés</t>
  </si>
  <si>
    <t>kötelező</t>
  </si>
  <si>
    <t>Gépjárműadó 40 %</t>
  </si>
  <si>
    <t>Talajterhelési díj</t>
  </si>
  <si>
    <t>Idegenforgalmi adó</t>
  </si>
  <si>
    <t>nem kötelező</t>
  </si>
  <si>
    <t>Önkormányzati hivatal működésének támogatása</t>
  </si>
  <si>
    <t>Zöldterület-gazdálkodással kapcsolatos feladatok ellátásának támogatása</t>
  </si>
  <si>
    <t>Közvilágítás fenntartásának támogatása</t>
  </si>
  <si>
    <t>Közutak fenntartásának támogatása</t>
  </si>
  <si>
    <t>Nem közművel összegyűjtött háztartási szennyvíz ártalmatlanítása</t>
  </si>
  <si>
    <t>Üdülőhelyi feladatok támogatása</t>
  </si>
  <si>
    <t>Óvodaműködtetési támogatás</t>
  </si>
  <si>
    <t>Települési önkormányzatok szociális feladatainak egyéb támogatása</t>
  </si>
  <si>
    <t>Gyermekétkeztetés támogatása</t>
  </si>
  <si>
    <t>Egyes szociális és gyermekjóléti feladatok támogatása</t>
  </si>
  <si>
    <t>A települési önkormányzatok szociáis szakosított ellátási feladatok tám.</t>
  </si>
  <si>
    <t>Települési önkormányzatok kulturális feladatainak támogatása</t>
  </si>
  <si>
    <t>Pénzeszköz átvétel munkaügyi Központtól START programra (értékteremtő)</t>
  </si>
  <si>
    <t>Pénzeszköz átvétel munkaügyi Központtól hosszabb távú közfoglalkoztatásra</t>
  </si>
  <si>
    <t>Pénzeszköz átvétel OEP-től</t>
  </si>
  <si>
    <t xml:space="preserve">Pénzeszköz  átvétel Pusztaottlaka önkormányzatától </t>
  </si>
  <si>
    <t>Jelzőrendszeres házi segítségnyújtás</t>
  </si>
  <si>
    <t xml:space="preserve">Önkormányzat bérbeadás, város és községgazdálkodás m.n.s. szolg. </t>
  </si>
  <si>
    <t>Startmunka program bevétele</t>
  </si>
  <si>
    <t>Óvodai étkeztetés</t>
  </si>
  <si>
    <t>Iskolai étkeztetés</t>
  </si>
  <si>
    <t>Alaptevékenység bevételei összesen</t>
  </si>
  <si>
    <t>Kötelező feladatok:</t>
  </si>
  <si>
    <t>Nem kötelező:</t>
  </si>
  <si>
    <t>Kötelező</t>
  </si>
  <si>
    <t>Nem kötelező</t>
  </si>
  <si>
    <t>Varázserdő Óvoda Medgyesegyháza</t>
  </si>
  <si>
    <t>Gondozási Központ Medgyesegyháza</t>
  </si>
  <si>
    <t>Összesen</t>
  </si>
  <si>
    <t>Kötelező mindösszesen:</t>
  </si>
  <si>
    <t>Nem kötelező mindösszesen:</t>
  </si>
  <si>
    <t>Mindösszesen:</t>
  </si>
  <si>
    <t>START</t>
  </si>
  <si>
    <t>Rövidszámla</t>
  </si>
  <si>
    <t>Felhalmozási célra átvett pénzeszközök</t>
  </si>
  <si>
    <t xml:space="preserve"> Finanszírozási bevételek - Támogatás működésre</t>
  </si>
  <si>
    <t>Szakfeladat</t>
  </si>
  <si>
    <t>Önkormányzati igazgatási tevékenység</t>
  </si>
  <si>
    <t>Alaptevékenység összesen</t>
  </si>
  <si>
    <t>Kötelező:</t>
  </si>
  <si>
    <t>L</t>
  </si>
  <si>
    <t>N</t>
  </si>
  <si>
    <t>P</t>
  </si>
  <si>
    <t>Kötelező/nem kötelező</t>
  </si>
  <si>
    <t>Háziorvosi alapellátás</t>
  </si>
  <si>
    <t>Fogorvosi alapellátás</t>
  </si>
  <si>
    <t>Egészségügyi labor</t>
  </si>
  <si>
    <t>Család és nővédelmi eü. gondozás</t>
  </si>
  <si>
    <t>Ifjúsági- egészségügyi gondozás</t>
  </si>
  <si>
    <t xml:space="preserve">Időskorúak bentlakásos szoc. ell. </t>
  </si>
  <si>
    <t>Idősek nappali ellátása</t>
  </si>
  <si>
    <t>Szociális étkeztetés</t>
  </si>
  <si>
    <t>Házi segítségnyújtás</t>
  </si>
  <si>
    <t>Vagyongazdálkodás</t>
  </si>
  <si>
    <t>Óvodai nevelés, ellátás</t>
  </si>
  <si>
    <t>TÁMOP-3.2.11/10-1-2010-0220 pályázat utóköv</t>
  </si>
  <si>
    <t xml:space="preserve"> </t>
  </si>
  <si>
    <t>K</t>
  </si>
  <si>
    <t>Szociális hozzájárulási adó</t>
  </si>
  <si>
    <t>Önkormányzat által folyósított ellátások</t>
  </si>
  <si>
    <t>Egyéb működési célú kiadások ÁH-n kívülre</t>
  </si>
  <si>
    <t>Egyéb működési célú kiadás ÁH-n belülre</t>
  </si>
  <si>
    <t>Tartalék</t>
  </si>
  <si>
    <t>Finanszírozási kiadások</t>
  </si>
  <si>
    <t>Finanszírozási kiadás Ktgvetési szerveknek</t>
  </si>
  <si>
    <t>Kiadások összesen</t>
  </si>
  <si>
    <t>Szakfeladat/Feladat</t>
  </si>
  <si>
    <t>Polgármesteri keret</t>
  </si>
  <si>
    <t>Lakóingatlanok bérbe adása</t>
  </si>
  <si>
    <t>Nem lakóingatlan bérbeadása, üzemeltetése</t>
  </si>
  <si>
    <t>Üzemorvosi díj</t>
  </si>
  <si>
    <t>Közvilágítás</t>
  </si>
  <si>
    <t>Egyéb ösztöndíj</t>
  </si>
  <si>
    <t>Köztemetés</t>
  </si>
  <si>
    <t>Civil szervezetek működési támogatása</t>
  </si>
  <si>
    <t>Startmunka mintaprogram</t>
  </si>
  <si>
    <t>Önkormányzat üzemeltetési feladatok város-és községgazdálkodás feladatból</t>
  </si>
  <si>
    <t xml:space="preserve">Háziorvosi feladatok </t>
  </si>
  <si>
    <t>Általános Iskola - TÁMOP utókövetés</t>
  </si>
  <si>
    <t>Óvodai gyermekétkeztetés</t>
  </si>
  <si>
    <t>Iskolai gyermekétkeztetés</t>
  </si>
  <si>
    <t>Kötelező/ nem kötelező</t>
  </si>
  <si>
    <t>Finanszíroszási kiadások</t>
  </si>
  <si>
    <t>Engedélyezett létszám</t>
  </si>
  <si>
    <t>ebből: közfoglalkoztatott:</t>
  </si>
  <si>
    <t>Időskorúak bentlakásos szoc. ell.</t>
  </si>
  <si>
    <t xml:space="preserve">Engedélyezett létszám </t>
  </si>
  <si>
    <t>TÁMOP-3.2.11/10-1-2010-0220 
pályázat utókövetés</t>
  </si>
  <si>
    <t xml:space="preserve">Engedélyezett létszám           </t>
  </si>
  <si>
    <t>Önkormányzat</t>
  </si>
  <si>
    <t>Kiegészító támogatás az óvodaped minősítéséből adódó többletkiadáshoz</t>
  </si>
  <si>
    <t>Gondozási Központ</t>
  </si>
  <si>
    <t>Önkormányzat összesen:</t>
  </si>
  <si>
    <t>Gondozási Központ összesen:</t>
  </si>
  <si>
    <t>Óvoda</t>
  </si>
  <si>
    <t>Óvoda összesen:</t>
  </si>
  <si>
    <t>Céltartalék</t>
  </si>
  <si>
    <t>MINDÖSSZESEN:</t>
  </si>
  <si>
    <t>Államigazgatási feladatok</t>
  </si>
  <si>
    <t>Államigazgatási</t>
  </si>
  <si>
    <t>Általános tartalék</t>
  </si>
  <si>
    <t>Köztemető fenntartás</t>
  </si>
  <si>
    <t>Szünidei gyermekétkeztetés</t>
  </si>
  <si>
    <t>Egyéb működési célú kiadások Áht-n kívülre</t>
  </si>
  <si>
    <t>államigazg</t>
  </si>
  <si>
    <t>Bankszámlák egyenlege</t>
  </si>
  <si>
    <t>Államigazgatási:</t>
  </si>
  <si>
    <t>államigazgatási</t>
  </si>
  <si>
    <t>Medgyesegyházi Polgármesteri Hivatal</t>
  </si>
  <si>
    <t>Önkormányzatok szociális és gyermekjóléti feladatainak támogatása</t>
  </si>
  <si>
    <t>Költségvetési kiadások összesen: (1.+3.+5.+6.)</t>
  </si>
  <si>
    <t>Működési célú finanszírozási kiadások összesen: (=9.)</t>
  </si>
  <si>
    <t>Egyéb kötelező önkormányzati feladatok támogatása</t>
  </si>
  <si>
    <t>Lakott külterülettel kapcsolatos feladatok támogatása</t>
  </si>
  <si>
    <t>Óvodapedagógusok bértámogatása</t>
  </si>
  <si>
    <t>Képviselő-testület kiadásai</t>
  </si>
  <si>
    <t>Medgyesegyházi Településüzemeltetési Kft. Támogatása</t>
  </si>
  <si>
    <t>Felhasználás 
2016. XII. 31-ig</t>
  </si>
  <si>
    <t>ASP rendszer kialakítása</t>
  </si>
  <si>
    <t>Közkifolyók kiadásai</t>
  </si>
  <si>
    <t xml:space="preserve">Tagdíjak: DAREH, Kertészek akciócsoport, </t>
  </si>
  <si>
    <t>Kistérségi társulásnak fizetendő díjak: ügyelet, belső ellenőrzés, tagdíj</t>
  </si>
  <si>
    <t>Költségvetési maradvány</t>
  </si>
  <si>
    <t>Állami támogatások és megelőlegezések  visszafizetése</t>
  </si>
  <si>
    <t>Bursa Hungarica ösztöndíj</t>
  </si>
  <si>
    <t>Hulladéklerakó rekultiválás</t>
  </si>
  <si>
    <t>Gyógyszertámogatás</t>
  </si>
  <si>
    <t>Sportcsarnok használati díja</t>
  </si>
  <si>
    <t xml:space="preserve">TOP-5.2-1-15-BS1 Társadalmi együttműködés erősítését szolgáló helyi szintű </t>
  </si>
  <si>
    <t>TOP-2.1.2-15-BS1 Zöld város kialakítása</t>
  </si>
  <si>
    <t xml:space="preserve">TOP-5.2.1-15-BS1 Társadalmi együttműködés erősítését szolgáló helyi szintű </t>
  </si>
  <si>
    <t>TOP-1.4.1-15-BS1 Foglalkoztatás és életminőség javítása családbarát munkába….</t>
  </si>
  <si>
    <t>TOP-4.3.1-15-BS1 Leromlot városi területek rehabilitációja</t>
  </si>
  <si>
    <t>TOP-4.1.1-15-BS1 Egészségügyi ellátás infrastukturális fejlesztése</t>
  </si>
  <si>
    <t>Startmunka összesen:</t>
  </si>
  <si>
    <t>forintban</t>
  </si>
  <si>
    <t>Művelődési Ház és Könyvtár</t>
  </si>
  <si>
    <t>Schéner Ház</t>
  </si>
  <si>
    <t>Medgyesi Hírlap</t>
  </si>
  <si>
    <t>Medgyesi Napok</t>
  </si>
  <si>
    <t>Dinnyefesztivál</t>
  </si>
  <si>
    <t>Államigazgatási mindösszesen:</t>
  </si>
  <si>
    <t>Család és gyermekjóléti szolgáltatás</t>
  </si>
  <si>
    <t>TOP pályázatok</t>
  </si>
  <si>
    <t>Egyéb Felhalmozási célú kiadás ÁH-n kívülre</t>
  </si>
  <si>
    <t>Egyéb Felhalmozási célú kiadás ÁH-n belülre</t>
  </si>
  <si>
    <t>Önkormányzat létszáma</t>
  </si>
  <si>
    <t>Polgármester</t>
  </si>
  <si>
    <t>Képviselő</t>
  </si>
  <si>
    <t>Külsős bizottsági tag</t>
  </si>
  <si>
    <t>Közmunkaprogramban részt vevő</t>
  </si>
  <si>
    <t>Elszámolásból származó bevételek</t>
  </si>
  <si>
    <t>Engedélyezett létszámkeret</t>
  </si>
  <si>
    <t>1 fő polgármester</t>
  </si>
  <si>
    <t>Medgyesegyháza Polgármesteri Hivatal</t>
  </si>
  <si>
    <t>1 fő munkatörvénykönyves</t>
  </si>
  <si>
    <t>Medgyesegyháza Városi Gondozási Központ</t>
  </si>
  <si>
    <t>Medgyesegyházi Varázserdő Óvoda</t>
  </si>
  <si>
    <t>23 fő közalkalmazott</t>
  </si>
  <si>
    <t>Medgyesegyháza Városi Művelődési Ház és Könyvtár</t>
  </si>
  <si>
    <t>4 fő közalkalmazott</t>
  </si>
  <si>
    <t>16 fő köztisztviselő</t>
  </si>
  <si>
    <t>1 fő alpolgármester</t>
  </si>
  <si>
    <t>5 fő képviselő</t>
  </si>
  <si>
    <t>1.5.-ből Előző évi elszámolásból származó befizetések</t>
  </si>
  <si>
    <t>Polgármesteri Hivatal összesen:</t>
  </si>
  <si>
    <t xml:space="preserve">Iparűzési adó  </t>
  </si>
  <si>
    <t xml:space="preserve">Termőföld bérbeadás   </t>
  </si>
  <si>
    <t>Pótlékok</t>
  </si>
  <si>
    <t>Bírságok</t>
  </si>
  <si>
    <t>117-30</t>
  </si>
  <si>
    <t>Polgármesteri illetmény támogatása</t>
  </si>
  <si>
    <t>Rászoruló gyermekek szünidei étkeztetésének támogatása</t>
  </si>
  <si>
    <t>Rákóczi utca felújítása</t>
  </si>
  <si>
    <t>VP6-7.2.1-7.4.1.2-16 Külterületi helyi utak fejlesztése</t>
  </si>
  <si>
    <t>VP6-7.2.1-7.4.1.3-17 Helyi termékértékesítést szolgáló piacok infrastukt. fejleszt.</t>
  </si>
  <si>
    <t>TOP-512-15-BS1-2016-00008 Foglalkoztatási paktum</t>
  </si>
  <si>
    <t>1.1. melléklet a          /2018.(………………) önkormányzati rendelethez</t>
  </si>
  <si>
    <t>2018. ÉVI KÖLTSÉGVETÉSÉNEK ÖSSZEVONT MÉRLEGE (forintban)</t>
  </si>
  <si>
    <t>2018. évi 
előirányzat</t>
  </si>
  <si>
    <t>2018. évi
mód. előir</t>
  </si>
  <si>
    <t>1.2. melléklet a          /2018.(………………) önkormányzati rendelethez</t>
  </si>
  <si>
    <t>2018. ÉVI KÖLTSÉGVETÉS KÖTELEZŐ FELADATAINAK MÉRLEGE (forintban)</t>
  </si>
  <si>
    <t>1.3. melléklet a          /2018.(………………) önkormányzati rendelethez</t>
  </si>
  <si>
    <t>2018. ÉVI KÖLTSÉGVETÉS ÖNKÉNT VÁLLALT FELADATAINAK MÉRLEGE
(forintban)</t>
  </si>
  <si>
    <t>1.4. melléklet a …….../2018.(………………) önkormányzati rendelethez</t>
  </si>
  <si>
    <t>2018. ÉVI KÖLTSÉGVETÉS ÁLLAMIGAZGATÁSI FELADATAINAK MÉRLEGE
forintban</t>
  </si>
  <si>
    <t>2.1. melléklet a              ………/2018.(………..) önkormányzati rendelethez</t>
  </si>
  <si>
    <t>2.2. melléklet a  ………/2018.(………..) önkormányzati rendelethez</t>
  </si>
  <si>
    <t>3.1. melléklet a ……./2018.(……………..) önkormányzati rendelethez</t>
  </si>
  <si>
    <t>Medgyesegyháza Város Önkormányzat 2018 évi bevételeinek alakulása - Önkormányzat
forintban</t>
  </si>
  <si>
    <t>2018. évi előirányzat</t>
  </si>
  <si>
    <t>2018. 
mód ei.</t>
  </si>
  <si>
    <t>2018. évi
 előirányzat</t>
  </si>
  <si>
    <t>Ebből 2018. évi előleg</t>
  </si>
  <si>
    <t>3.2. melléklet ..../2018. (…...) önkormányzati rendelethez</t>
  </si>
  <si>
    <t>Medgyesegyháza Város Önkormányzat 2018. évi bevételeinek alakulása - Medgyesegyházi Polgármesteri Hivatal
forintban</t>
  </si>
  <si>
    <t>2018. évi eredeti ei.</t>
  </si>
  <si>
    <t>3.3.  melléklet a .../2018. (....) önkormányzati rendelethez</t>
  </si>
  <si>
    <t>Medgyesegyháza Város Önkormányzat 2018. évi bevételeinek alakulása - Gondozási Központ (forintban)</t>
  </si>
  <si>
    <t>3.4.  melléklet a .../2018. (....) önkormányzati rendelethez</t>
  </si>
  <si>
    <t>Medgyesegyháza Város Önkormányzat 2018. évi bevételeinek alakulása - Varázserdő Óvoda
forintban</t>
  </si>
  <si>
    <t>3.5.  melléklet a .../2018. (....) önkormányzati rendelethez</t>
  </si>
  <si>
    <t>Medgyesegyháza Város Önkormányzat 2018. évi bevételeinek alakulása - Művelődési Ház és Könyvtár (forintban)</t>
  </si>
  <si>
    <t>4.1.  melléklet a ..../2018. (....) önkormányzati rendelethez</t>
  </si>
  <si>
    <t>Az Önkormányzat 2018. évi kiadások kiemelt előirányzatonként
forintban</t>
  </si>
  <si>
    <t>2018. előirányzat</t>
  </si>
  <si>
    <t>2018. 
előirányzat</t>
  </si>
  <si>
    <t>2018. évi bevétel</t>
  </si>
  <si>
    <t>4.2. melléklet .../2018. (...)  önkormányzati rendelethez</t>
  </si>
  <si>
    <t>Medgyesegyházi Polgármesteri Hivatal 2018. évi kiadások kiemelt előirányzatonként
forintban</t>
  </si>
  <si>
    <t>4.3. melléklet a .../2018. (....) önkormányzati rendelethez</t>
  </si>
  <si>
    <t>Gondozási Központ 2018. évi kiadások kiemelt előirányzatonként
forintban</t>
  </si>
  <si>
    <t>4.4. melléklet a .../2018. (....) önkormányzati rendelethez</t>
  </si>
  <si>
    <t>Varázserdő Óvoda 2018. évi kiadások kiemelt előirányzatonként
forintban</t>
  </si>
  <si>
    <t>4.5. melléklet a .../2018. (....) önkormányzati rendelethez</t>
  </si>
  <si>
    <t>Művelődési Ház és Könyvtár 2018. évi kiadások kiemelt előirányzatonként
forintban</t>
  </si>
  <si>
    <t>5. melléklet a ……/2018.(…………) önkormányzati rendelethez</t>
  </si>
  <si>
    <t>2018. évi
mód. ei.</t>
  </si>
  <si>
    <t>2018. év utáni
szükséglet</t>
  </si>
  <si>
    <t>6. melléklet a ……/2018.(…………) önkormányzati rendelethez</t>
  </si>
  <si>
    <t>Önkormányzatok felhalmozási támogatása</t>
  </si>
  <si>
    <t>Rákóczi Ferenc utca útburkolat felújítása</t>
  </si>
  <si>
    <t>Minibölcsőde kialakítása</t>
  </si>
  <si>
    <t xml:space="preserve">Pályázatok önerejére tartalék </t>
  </si>
  <si>
    <t>Lakhatási támogatás</t>
  </si>
  <si>
    <t>Rendkívülin települési támogatás - egyszeri segély</t>
  </si>
  <si>
    <t>Krízissegély</t>
  </si>
  <si>
    <t>Temetési segély</t>
  </si>
  <si>
    <t>Hulladékszállítási díjkedvezmény</t>
  </si>
  <si>
    <t>Tüzelőanyag természetbeni juttatása</t>
  </si>
  <si>
    <t>Hosszabb távú közfoglaklkoztatás</t>
  </si>
  <si>
    <t>Útalap készítés Wesselényi és  Irányi utca</t>
  </si>
  <si>
    <t>Település arculati kézikönyv</t>
  </si>
  <si>
    <t xml:space="preserve">Szennyvíz- és ivóvízhálózat gördülő tervezés miatti kiadásai </t>
  </si>
  <si>
    <t>Szennyvízszippantás 100 Ft/m3</t>
  </si>
  <si>
    <t>Dinnyefesztivál önkományzati kiadásai</t>
  </si>
  <si>
    <t>Medgyesegyháza, Batthyány u. 7. szám alatti ingatlan megvásárlása</t>
  </si>
  <si>
    <t>TOP-5.1.2-15-BSI-2016-00008 Foglalkoztatási paktum</t>
  </si>
  <si>
    <t>Egyéb rendezvények</t>
  </si>
  <si>
    <t>EFOP-129 péályázat</t>
  </si>
  <si>
    <t>EFOP-129 Pályázat</t>
  </si>
  <si>
    <t>Országgyűlési választás</t>
  </si>
  <si>
    <t>EFOP-1.5.3-16-2017-00060 Humán szolgálat</t>
  </si>
  <si>
    <t>Arany János utca felújítása a Rákóczi Ferenc utca és a Deák Ferenc utca között</t>
  </si>
  <si>
    <t>Kompenzáció</t>
  </si>
  <si>
    <t>EFOP-3.9.2-16-2017-00025 Konzorciumi tag</t>
  </si>
  <si>
    <t>Helyi sajátosságokra épülő közfolglalkoztatás</t>
  </si>
  <si>
    <t>Raklapemelő</t>
  </si>
  <si>
    <t>Lapvibrátor</t>
  </si>
  <si>
    <t>10 db Térkősablon</t>
  </si>
  <si>
    <t>Térkő roppantógép</t>
  </si>
  <si>
    <t>Digitális tolósúlyos mérleg 300 kg</t>
  </si>
  <si>
    <t>Kézikocsi</t>
  </si>
  <si>
    <t>Állvány tartozékaival</t>
  </si>
  <si>
    <t>Áramfejlesztő</t>
  </si>
  <si>
    <t>Mezőgazdaság</t>
  </si>
  <si>
    <t>150 mm -es fúrószár</t>
  </si>
  <si>
    <t>60 mm-es fúrószár</t>
  </si>
  <si>
    <t>Fúrógép</t>
  </si>
  <si>
    <t>Akkumulátoros csavarbehajtó</t>
  </si>
  <si>
    <t>500 W-os szivattyú</t>
  </si>
  <si>
    <t>Toldószár</t>
  </si>
  <si>
    <t>Gödörfúró</t>
  </si>
  <si>
    <t>Mezőgazdasági földutak karbantartása</t>
  </si>
  <si>
    <t>Kompresszor</t>
  </si>
  <si>
    <t>Pályázatok összesen:</t>
  </si>
  <si>
    <t>Háziorvosi körzetbe 1 db laptop és 1 db számítógép</t>
  </si>
  <si>
    <t>Batthyány utca 7 szám alatti ingatlan megvásárlása</t>
  </si>
  <si>
    <t>Képviselő testület kiadásai soron egy éven túl 
elhasználódó eszközök</t>
  </si>
  <si>
    <t>Polgármesteri Hivatal</t>
  </si>
  <si>
    <t>1 éven túl elhasználódó eszközök</t>
  </si>
  <si>
    <t>Művelődési Ház és Könyvtár összesen:</t>
  </si>
  <si>
    <t>Varázserdő Óvoda</t>
  </si>
  <si>
    <t>Gyermekorvos szolgálati lakás 2 db bejárati ajtó csere</t>
  </si>
  <si>
    <t>Rákóczi Ferenc utca útburkolat javítás (pályázat)</t>
  </si>
  <si>
    <t xml:space="preserve">Wesselényi utca útalap </t>
  </si>
  <si>
    <t>Irányi utca útalap</t>
  </si>
  <si>
    <t>Felhasználás 
2017. XII. 31-ig</t>
  </si>
  <si>
    <t>Arany János utca (Rákóczi és Deák között) felújítás önereje</t>
  </si>
  <si>
    <t>G=(B-D-F)</t>
  </si>
  <si>
    <t>Előző évi költségvetési maradvány igénybe vétele</t>
  </si>
  <si>
    <t>60 fő közmunkás</t>
  </si>
  <si>
    <t>2 fő külsős bizottsági tag</t>
  </si>
  <si>
    <t>31 fő közalkalmazott</t>
  </si>
  <si>
    <t>Összesen: 145 fő</t>
  </si>
  <si>
    <t>1 fő munkatörvénykönyves 2018.02.01-2018.09.18</t>
  </si>
  <si>
    <t>Kulturális ágazati pótlék</t>
  </si>
  <si>
    <t>Összevont szociális ágazati pótlék</t>
  </si>
  <si>
    <t>ASP rendszert használók céljuttatása</t>
  </si>
  <si>
    <t>Könyvtár érdekeltségnövelő támogatása</t>
  </si>
  <si>
    <t>KEHOP-1.2.1 pályázat</t>
  </si>
  <si>
    <t>Művelődési Ház részére bevétel átadás + könytár pályázat</t>
  </si>
  <si>
    <t>Téli rezsicsökkentés</t>
  </si>
  <si>
    <t>Finanszírozási bevételek</t>
  </si>
  <si>
    <t>Könyvtár bútorbeszerzés önerő</t>
  </si>
  <si>
    <t>Dózsa György utca 2. ingatlan villanyszerelés, fűtés és
 vizvezeték felújítás</t>
  </si>
  <si>
    <t>Irodába klíma</t>
  </si>
  <si>
    <t>TOP-3.2.1-16 Önkormányzati épületek energetikai korszerűsítése</t>
  </si>
  <si>
    <t>Kávéfőző</t>
  </si>
  <si>
    <t>Szociális tüzelőanyag pályázat</t>
  </si>
  <si>
    <t>Hosszabb távú közfoglalkoztatás</t>
  </si>
  <si>
    <t>Éven túli célhitel felvétele</t>
  </si>
  <si>
    <t>Talajvédelmi járulék</t>
  </si>
  <si>
    <t>1.-ből EU-s forrásból megvalósuló beruházás</t>
  </si>
  <si>
    <t>Felhalmozási céltartalék</t>
  </si>
  <si>
    <t>Fénymásoló</t>
  </si>
  <si>
    <t>Védőnői szolgálatnak LANG teszt</t>
  </si>
  <si>
    <t>Szakosított ellátásba Termoláda és GN edények</t>
  </si>
  <si>
    <t>EFOP-1.5.3-16-2017-00060 Humán szolgálat Konzorciumi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</si>
</sst>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#,##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9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/>
    <xf numFmtId="4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4" fillId="0" borderId="6" xfId="0" applyFont="1" applyBorder="1"/>
    <xf numFmtId="0" fontId="5" fillId="0" borderId="9" xfId="0" applyFont="1" applyBorder="1"/>
    <xf numFmtId="0" fontId="4" fillId="0" borderId="6" xfId="0" applyFont="1" applyBorder="1" applyAlignment="1">
      <alignment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/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4" fillId="0" borderId="5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12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5" xfId="0" applyFont="1" applyBorder="1"/>
    <xf numFmtId="0" fontId="8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vertical="center"/>
    </xf>
    <xf numFmtId="0" fontId="7" fillId="0" borderId="0" xfId="1" applyFont="1" applyFill="1"/>
    <xf numFmtId="0" fontId="22" fillId="0" borderId="1" xfId="5" applyFont="1" applyFill="1" applyBorder="1" applyAlignment="1">
      <alignment vertical="center"/>
    </xf>
    <xf numFmtId="0" fontId="25" fillId="0" borderId="1" xfId="5" applyFont="1" applyFill="1" applyBorder="1" applyAlignment="1">
      <alignment horizontal="center"/>
    </xf>
    <xf numFmtId="0" fontId="13" fillId="0" borderId="1" xfId="5" applyFont="1" applyFill="1" applyBorder="1" applyAlignment="1">
      <alignment vertical="center"/>
    </xf>
    <xf numFmtId="3" fontId="29" fillId="0" borderId="1" xfId="5" applyNumberFormat="1" applyFont="1" applyFill="1" applyBorder="1" applyAlignment="1">
      <alignment horizontal="right" vertical="center"/>
    </xf>
    <xf numFmtId="3" fontId="29" fillId="0" borderId="1" xfId="5" applyNumberFormat="1" applyFont="1" applyFill="1" applyBorder="1" applyAlignment="1">
      <alignment horizontal="right" vertical="center" wrapText="1"/>
    </xf>
    <xf numFmtId="0" fontId="20" fillId="0" borderId="0" xfId="5" applyFont="1" applyFill="1"/>
    <xf numFmtId="0" fontId="20" fillId="0" borderId="1" xfId="5" applyFont="1" applyFill="1" applyBorder="1" applyAlignment="1">
      <alignment horizontal="center"/>
    </xf>
    <xf numFmtId="0" fontId="26" fillId="0" borderId="0" xfId="5" applyFont="1" applyFill="1" applyBorder="1" applyAlignment="1">
      <alignment horizontal="center" vertical="center"/>
    </xf>
    <xf numFmtId="0" fontId="27" fillId="0" borderId="1" xfId="5" applyFont="1" applyFill="1" applyBorder="1" applyAlignment="1">
      <alignment horizontal="center" wrapText="1"/>
    </xf>
    <xf numFmtId="0" fontId="28" fillId="0" borderId="1" xfId="5" applyFont="1" applyFill="1" applyBorder="1" applyAlignment="1">
      <alignment horizontal="center" vertical="center"/>
    </xf>
    <xf numFmtId="0" fontId="29" fillId="0" borderId="1" xfId="5" applyFont="1" applyFill="1" applyBorder="1" applyAlignment="1">
      <alignment horizontal="center" vertical="center" wrapText="1"/>
    </xf>
    <xf numFmtId="0" fontId="29" fillId="0" borderId="0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0" fillId="0" borderId="1" xfId="5" applyFont="1" applyFill="1" applyBorder="1"/>
    <xf numFmtId="3" fontId="29" fillId="0" borderId="0" xfId="5" applyNumberFormat="1" applyFont="1" applyFill="1" applyBorder="1" applyAlignment="1">
      <alignment horizontal="right" vertical="center" wrapText="1"/>
    </xf>
    <xf numFmtId="0" fontId="27" fillId="0" borderId="1" xfId="5" applyFont="1" applyFill="1" applyBorder="1" applyAlignment="1">
      <alignment horizontal="center"/>
    </xf>
    <xf numFmtId="0" fontId="29" fillId="0" borderId="1" xfId="5" applyFont="1" applyFill="1" applyBorder="1" applyAlignment="1">
      <alignment vertical="center"/>
    </xf>
    <xf numFmtId="0" fontId="29" fillId="0" borderId="0" xfId="5" applyFont="1" applyFill="1"/>
    <xf numFmtId="0" fontId="20" fillId="0" borderId="1" xfId="5" applyFont="1" applyFill="1" applyBorder="1" applyAlignment="1">
      <alignment vertical="center"/>
    </xf>
    <xf numFmtId="3" fontId="20" fillId="0" borderId="0" xfId="5" applyNumberFormat="1" applyFont="1" applyFill="1" applyBorder="1" applyAlignment="1">
      <alignment horizontal="right" vertical="center" wrapText="1"/>
    </xf>
    <xf numFmtId="3" fontId="30" fillId="0" borderId="0" xfId="5" applyNumberFormat="1" applyFont="1" applyFill="1" applyBorder="1" applyAlignment="1">
      <alignment vertical="center"/>
    </xf>
    <xf numFmtId="3" fontId="20" fillId="0" borderId="0" xfId="5" applyNumberFormat="1" applyFont="1" applyFill="1" applyBorder="1"/>
    <xf numFmtId="0" fontId="29" fillId="0" borderId="1" xfId="5" applyFont="1" applyFill="1" applyBorder="1"/>
    <xf numFmtId="3" fontId="20" fillId="0" borderId="0" xfId="5" applyNumberFormat="1" applyFont="1" applyFill="1"/>
    <xf numFmtId="0" fontId="5" fillId="0" borderId="0" xfId="0" applyFont="1" applyAlignment="1">
      <alignment horizontal="center"/>
    </xf>
    <xf numFmtId="3" fontId="5" fillId="0" borderId="4" xfId="0" applyNumberFormat="1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3" fontId="4" fillId="0" borderId="4" xfId="0" applyNumberFormat="1" applyFont="1" applyBorder="1"/>
    <xf numFmtId="0" fontId="7" fillId="0" borderId="1" xfId="1" applyFont="1" applyFill="1" applyBorder="1"/>
    <xf numFmtId="0" fontId="10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12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horizontal="right" vertical="center" wrapText="1"/>
    </xf>
    <xf numFmtId="0" fontId="11" fillId="0" borderId="0" xfId="1" applyFont="1" applyFill="1"/>
    <xf numFmtId="0" fontId="7" fillId="0" borderId="1" xfId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vertical="center"/>
    </xf>
    <xf numFmtId="0" fontId="11" fillId="0" borderId="1" xfId="1" applyFont="1" applyFill="1" applyBorder="1"/>
    <xf numFmtId="0" fontId="4" fillId="0" borderId="4" xfId="0" applyFont="1" applyBorder="1"/>
    <xf numFmtId="1" fontId="5" fillId="0" borderId="1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3" fontId="29" fillId="0" borderId="0" xfId="5" applyNumberFormat="1" applyFont="1" applyFill="1" applyBorder="1"/>
    <xf numFmtId="3" fontId="5" fillId="0" borderId="0" xfId="0" applyNumberFormat="1" applyFont="1"/>
    <xf numFmtId="3" fontId="4" fillId="0" borderId="6" xfId="0" applyNumberFormat="1" applyFont="1" applyBorder="1" applyAlignment="1">
      <alignment horizontal="center"/>
    </xf>
    <xf numFmtId="165" fontId="7" fillId="0" borderId="0" xfId="1" applyNumberFormat="1" applyFont="1" applyFill="1"/>
    <xf numFmtId="165" fontId="12" fillId="0" borderId="1" xfId="2" applyNumberFormat="1" applyFont="1" applyFill="1" applyBorder="1" applyAlignment="1">
      <alignment vertical="center"/>
    </xf>
    <xf numFmtId="165" fontId="12" fillId="0" borderId="1" xfId="2" applyNumberFormat="1" applyFont="1" applyFill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right" vertical="center"/>
    </xf>
    <xf numFmtId="165" fontId="14" fillId="0" borderId="1" xfId="2" applyNumberFormat="1" applyFont="1" applyFill="1" applyBorder="1" applyAlignment="1">
      <alignment vertical="center"/>
    </xf>
    <xf numFmtId="165" fontId="13" fillId="0" borderId="1" xfId="2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/>
    <xf numFmtId="165" fontId="6" fillId="0" borderId="1" xfId="1" applyNumberFormat="1" applyFont="1" applyFill="1" applyBorder="1" applyAlignment="1">
      <alignment vertical="center"/>
    </xf>
    <xf numFmtId="165" fontId="12" fillId="0" borderId="1" xfId="1" applyNumberFormat="1" applyFont="1" applyFill="1" applyBorder="1" applyAlignment="1">
      <alignment vertical="center"/>
    </xf>
    <xf numFmtId="165" fontId="6" fillId="0" borderId="9" xfId="1" applyNumberFormat="1" applyFont="1" applyFill="1" applyBorder="1" applyAlignment="1">
      <alignment vertical="center"/>
    </xf>
    <xf numFmtId="165" fontId="11" fillId="0" borderId="1" xfId="1" applyNumberFormat="1" applyFont="1" applyFill="1" applyBorder="1"/>
    <xf numFmtId="165" fontId="13" fillId="0" borderId="1" xfId="5" applyNumberFormat="1" applyFont="1" applyFill="1" applyBorder="1" applyAlignment="1">
      <alignment horizontal="right" vertical="center" wrapText="1"/>
    </xf>
    <xf numFmtId="165" fontId="29" fillId="0" borderId="1" xfId="5" applyNumberFormat="1" applyFont="1" applyFill="1" applyBorder="1" applyAlignment="1">
      <alignment horizontal="right" vertical="center"/>
    </xf>
    <xf numFmtId="165" fontId="29" fillId="0" borderId="1" xfId="5" applyNumberFormat="1" applyFont="1" applyFill="1" applyBorder="1" applyAlignment="1">
      <alignment horizontal="right" vertical="center" wrapText="1"/>
    </xf>
    <xf numFmtId="165" fontId="13" fillId="0" borderId="1" xfId="5" applyNumberFormat="1" applyFont="1" applyFill="1" applyBorder="1" applyAlignment="1">
      <alignment vertical="center"/>
    </xf>
    <xf numFmtId="165" fontId="13" fillId="0" borderId="1" xfId="5" applyNumberFormat="1" applyFont="1" applyFill="1" applyBorder="1" applyAlignment="1">
      <alignment horizontal="right" vertical="center"/>
    </xf>
    <xf numFmtId="165" fontId="13" fillId="0" borderId="1" xfId="6" applyNumberFormat="1" applyFont="1" applyFill="1" applyBorder="1" applyAlignment="1">
      <alignment horizontal="right" vertical="center"/>
    </xf>
    <xf numFmtId="165" fontId="20" fillId="0" borderId="1" xfId="5" applyNumberFormat="1" applyFont="1" applyFill="1" applyBorder="1"/>
    <xf numFmtId="165" fontId="13" fillId="0" borderId="1" xfId="6" applyNumberFormat="1" applyFont="1" applyFill="1" applyBorder="1" applyAlignment="1">
      <alignment vertical="center"/>
    </xf>
    <xf numFmtId="165" fontId="30" fillId="0" borderId="1" xfId="5" applyNumberFormat="1" applyFont="1" applyFill="1" applyBorder="1" applyAlignment="1">
      <alignment vertical="center"/>
    </xf>
    <xf numFmtId="165" fontId="20" fillId="0" borderId="1" xfId="5" applyNumberFormat="1" applyFont="1" applyFill="1" applyBorder="1" applyAlignment="1">
      <alignment horizontal="right" vertical="center" wrapText="1"/>
    </xf>
    <xf numFmtId="165" fontId="29" fillId="0" borderId="1" xfId="5" applyNumberFormat="1" applyFont="1" applyFill="1" applyBorder="1"/>
    <xf numFmtId="0" fontId="13" fillId="0" borderId="1" xfId="5" applyFont="1" applyFill="1" applyBorder="1" applyAlignment="1">
      <alignment vertical="center" wrapText="1"/>
    </xf>
    <xf numFmtId="165" fontId="20" fillId="0" borderId="1" xfId="5" applyNumberFormat="1" applyFont="1" applyFill="1" applyBorder="1" applyAlignment="1">
      <alignment vertical="center"/>
    </xf>
    <xf numFmtId="3" fontId="29" fillId="0" borderId="1" xfId="5" applyNumberFormat="1" applyFont="1" applyFill="1" applyBorder="1"/>
    <xf numFmtId="1" fontId="7" fillId="0" borderId="0" xfId="1" applyNumberFormat="1" applyFont="1" applyFill="1"/>
    <xf numFmtId="165" fontId="4" fillId="0" borderId="0" xfId="0" applyNumberFormat="1" applyFont="1" applyAlignment="1">
      <alignment horizontal="right"/>
    </xf>
    <xf numFmtId="165" fontId="4" fillId="0" borderId="7" xfId="0" applyNumberFormat="1" applyFont="1" applyBorder="1"/>
    <xf numFmtId="165" fontId="4" fillId="0" borderId="0" xfId="0" applyNumberFormat="1" applyFont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0" borderId="9" xfId="0" applyNumberFormat="1" applyFont="1" applyBorder="1"/>
    <xf numFmtId="165" fontId="5" fillId="0" borderId="13" xfId="0" applyNumberFormat="1" applyFont="1" applyBorder="1"/>
    <xf numFmtId="165" fontId="5" fillId="0" borderId="0" xfId="0" applyNumberFormat="1" applyFont="1"/>
    <xf numFmtId="165" fontId="4" fillId="0" borderId="6" xfId="0" applyNumberFormat="1" applyFont="1" applyBorder="1"/>
    <xf numFmtId="165" fontId="4" fillId="0" borderId="12" xfId="0" applyNumberFormat="1" applyFont="1" applyBorder="1"/>
    <xf numFmtId="165" fontId="4" fillId="0" borderId="1" xfId="0" applyNumberFormat="1" applyFont="1" applyBorder="1"/>
    <xf numFmtId="165" fontId="5" fillId="0" borderId="6" xfId="0" applyNumberFormat="1" applyFont="1" applyBorder="1"/>
    <xf numFmtId="165" fontId="5" fillId="0" borderId="1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3" fontId="29" fillId="0" borderId="0" xfId="5" applyNumberFormat="1" applyFont="1" applyFill="1" applyBorder="1" applyAlignment="1">
      <alignment horizontal="right" vertical="center"/>
    </xf>
    <xf numFmtId="0" fontId="29" fillId="0" borderId="1" xfId="5" applyFont="1" applyFill="1" applyBorder="1" applyAlignment="1">
      <alignment horizontal="center"/>
    </xf>
    <xf numFmtId="0" fontId="35" fillId="0" borderId="1" xfId="5" applyFont="1" applyFill="1" applyBorder="1" applyAlignment="1">
      <alignment horizontal="center" vertical="center"/>
    </xf>
    <xf numFmtId="165" fontId="20" fillId="0" borderId="1" xfId="5" applyNumberFormat="1" applyFont="1" applyFill="1" applyBorder="1" applyAlignment="1">
      <alignment horizontal="right" vertical="center"/>
    </xf>
    <xf numFmtId="3" fontId="20" fillId="0" borderId="0" xfId="5" applyNumberFormat="1" applyFont="1" applyFill="1" applyBorder="1" applyAlignment="1">
      <alignment horizontal="right" vertical="center"/>
    </xf>
    <xf numFmtId="1" fontId="20" fillId="0" borderId="1" xfId="5" applyNumberFormat="1" applyFont="1" applyFill="1" applyBorder="1" applyAlignment="1">
      <alignment horizontal="right" vertical="center"/>
    </xf>
    <xf numFmtId="0" fontId="35" fillId="0" borderId="1" xfId="5" applyFont="1" applyFill="1" applyBorder="1" applyAlignment="1">
      <alignment horizontal="left" vertical="center"/>
    </xf>
    <xf numFmtId="0" fontId="28" fillId="0" borderId="1" xfId="5" applyFont="1" applyFill="1" applyBorder="1" applyAlignment="1">
      <alignment horizontal="left" vertical="center"/>
    </xf>
    <xf numFmtId="1" fontId="29" fillId="0" borderId="1" xfId="5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/>
    <xf numFmtId="165" fontId="4" fillId="0" borderId="0" xfId="0" applyNumberFormat="1" applyFont="1" applyBorder="1"/>
    <xf numFmtId="3" fontId="6" fillId="0" borderId="1" xfId="1" applyNumberFormat="1" applyFont="1" applyFill="1" applyBorder="1" applyAlignment="1">
      <alignment vertical="center"/>
    </xf>
    <xf numFmtId="165" fontId="11" fillId="0" borderId="4" xfId="1" applyNumberFormat="1" applyFont="1" applyFill="1" applyBorder="1" applyAlignment="1">
      <alignment horizontal="center" vertical="center" wrapText="1"/>
    </xf>
    <xf numFmtId="0" fontId="29" fillId="0" borderId="4" xfId="5" applyFont="1" applyFill="1" applyBorder="1" applyAlignment="1">
      <alignment horizontal="center" vertical="center" wrapText="1"/>
    </xf>
    <xf numFmtId="0" fontId="11" fillId="0" borderId="0" xfId="1" applyFont="1" applyFill="1" applyBorder="1"/>
    <xf numFmtId="165" fontId="20" fillId="0" borderId="0" xfId="5" applyNumberFormat="1" applyFont="1" applyFill="1"/>
    <xf numFmtId="3" fontId="4" fillId="0" borderId="22" xfId="0" applyNumberFormat="1" applyFont="1" applyBorder="1" applyAlignment="1">
      <alignment horizontal="center" vertical="center"/>
    </xf>
    <xf numFmtId="165" fontId="4" fillId="0" borderId="22" xfId="0" applyNumberFormat="1" applyFont="1" applyBorder="1"/>
    <xf numFmtId="165" fontId="4" fillId="0" borderId="2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5" fontId="5" fillId="0" borderId="17" xfId="0" applyNumberFormat="1" applyFont="1" applyBorder="1"/>
    <xf numFmtId="0" fontId="4" fillId="0" borderId="12" xfId="0" applyFont="1" applyBorder="1" applyAlignment="1">
      <alignment horizontal="center" vertical="center" wrapText="1"/>
    </xf>
    <xf numFmtId="165" fontId="5" fillId="0" borderId="12" xfId="0" applyNumberFormat="1" applyFont="1" applyBorder="1"/>
    <xf numFmtId="0" fontId="4" fillId="0" borderId="29" xfId="0" applyFont="1" applyBorder="1" applyAlignment="1">
      <alignment horizontal="center" vertical="center" wrapText="1"/>
    </xf>
    <xf numFmtId="165" fontId="4" fillId="0" borderId="13" xfId="0" applyNumberFormat="1" applyFont="1" applyBorder="1"/>
    <xf numFmtId="165" fontId="4" fillId="0" borderId="30" xfId="0" applyNumberFormat="1" applyFont="1" applyBorder="1"/>
    <xf numFmtId="165" fontId="4" fillId="0" borderId="11" xfId="0" applyNumberFormat="1" applyFont="1" applyBorder="1"/>
    <xf numFmtId="3" fontId="4" fillId="0" borderId="2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165" fontId="5" fillId="0" borderId="32" xfId="0" applyNumberFormat="1" applyFont="1" applyBorder="1"/>
    <xf numFmtId="165" fontId="5" fillId="0" borderId="33" xfId="0" applyNumberFormat="1" applyFont="1" applyBorder="1"/>
    <xf numFmtId="165" fontId="5" fillId="0" borderId="34" xfId="0" applyNumberFormat="1" applyFont="1" applyBorder="1"/>
    <xf numFmtId="165" fontId="4" fillId="0" borderId="35" xfId="0" applyNumberFormat="1" applyFont="1" applyBorder="1"/>
    <xf numFmtId="165" fontId="4" fillId="0" borderId="36" xfId="0" applyNumberFormat="1" applyFont="1" applyBorder="1"/>
    <xf numFmtId="0" fontId="4" fillId="0" borderId="22" xfId="0" applyFont="1" applyBorder="1" applyAlignment="1">
      <alignment wrapText="1"/>
    </xf>
    <xf numFmtId="0" fontId="25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right"/>
    </xf>
    <xf numFmtId="165" fontId="35" fillId="0" borderId="1" xfId="6" applyNumberFormat="1" applyFont="1" applyFill="1" applyBorder="1" applyAlignment="1">
      <alignment vertical="center"/>
    </xf>
    <xf numFmtId="0" fontId="5" fillId="0" borderId="1" xfId="0" applyFont="1" applyFill="1" applyBorder="1"/>
    <xf numFmtId="165" fontId="5" fillId="0" borderId="1" xfId="0" applyNumberFormat="1" applyFont="1" applyFill="1" applyBorder="1"/>
    <xf numFmtId="0" fontId="4" fillId="0" borderId="10" xfId="0" applyFont="1" applyBorder="1"/>
    <xf numFmtId="3" fontId="5" fillId="0" borderId="13" xfId="0" applyNumberFormat="1" applyFont="1" applyBorder="1"/>
    <xf numFmtId="0" fontId="4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5" fillId="0" borderId="22" xfId="0" applyFont="1" applyBorder="1" applyAlignment="1">
      <alignment horizontal="center"/>
    </xf>
    <xf numFmtId="165" fontId="4" fillId="0" borderId="0" xfId="0" applyNumberFormat="1" applyFont="1" applyFill="1"/>
    <xf numFmtId="165" fontId="4" fillId="0" borderId="12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/>
    <xf numFmtId="165" fontId="5" fillId="0" borderId="32" xfId="0" applyNumberFormat="1" applyFont="1" applyFill="1" applyBorder="1"/>
    <xf numFmtId="165" fontId="5" fillId="0" borderId="17" xfId="0" applyNumberFormat="1" applyFont="1" applyFill="1" applyBorder="1"/>
    <xf numFmtId="165" fontId="5" fillId="0" borderId="4" xfId="0" applyNumberFormat="1" applyFont="1" applyFill="1" applyBorder="1"/>
    <xf numFmtId="165" fontId="4" fillId="0" borderId="6" xfId="0" applyNumberFormat="1" applyFont="1" applyFill="1" applyBorder="1"/>
    <xf numFmtId="165" fontId="4" fillId="0" borderId="4" xfId="0" applyNumberFormat="1" applyFont="1" applyFill="1" applyBorder="1"/>
    <xf numFmtId="165" fontId="5" fillId="0" borderId="9" xfId="0" applyNumberFormat="1" applyFont="1" applyFill="1" applyBorder="1"/>
    <xf numFmtId="165" fontId="4" fillId="0" borderId="12" xfId="0" applyNumberFormat="1" applyFont="1" applyFill="1" applyBorder="1" applyAlignment="1">
      <alignment wrapText="1"/>
    </xf>
    <xf numFmtId="165" fontId="5" fillId="0" borderId="0" xfId="0" applyNumberFormat="1" applyFont="1" applyFill="1"/>
    <xf numFmtId="165" fontId="5" fillId="0" borderId="12" xfId="0" applyNumberFormat="1" applyFont="1" applyFill="1" applyBorder="1"/>
    <xf numFmtId="165" fontId="5" fillId="0" borderId="20" xfId="0" applyNumberFormat="1" applyFont="1" applyFill="1" applyBorder="1"/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49" fontId="5" fillId="0" borderId="0" xfId="0" applyNumberFormat="1" applyFont="1" applyFill="1" applyAlignment="1">
      <alignment horizontal="center"/>
    </xf>
    <xf numFmtId="0" fontId="7" fillId="0" borderId="0" xfId="5" applyFont="1" applyFill="1"/>
    <xf numFmtId="0" fontId="8" fillId="0" borderId="1" xfId="5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vertical="center"/>
    </xf>
    <xf numFmtId="165" fontId="21" fillId="0" borderId="1" xfId="5" applyNumberFormat="1" applyFont="1" applyFill="1" applyBorder="1" applyAlignment="1">
      <alignment vertical="center"/>
    </xf>
    <xf numFmtId="165" fontId="21" fillId="0" borderId="1" xfId="5" applyNumberFormat="1" applyFont="1" applyFill="1" applyBorder="1" applyAlignment="1">
      <alignment horizontal="right" vertical="center"/>
    </xf>
    <xf numFmtId="165" fontId="19" fillId="0" borderId="1" xfId="5" applyNumberFormat="1" applyFont="1" applyFill="1" applyBorder="1" applyAlignment="1">
      <alignment horizontal="right" vertical="center"/>
    </xf>
    <xf numFmtId="165" fontId="19" fillId="0" borderId="16" xfId="5" applyNumberFormat="1" applyFont="1" applyFill="1" applyBorder="1" applyAlignment="1">
      <alignment horizontal="right" vertical="center"/>
    </xf>
    <xf numFmtId="165" fontId="7" fillId="0" borderId="1" xfId="5" applyNumberFormat="1" applyFont="1" applyFill="1" applyBorder="1"/>
    <xf numFmtId="165" fontId="7" fillId="0" borderId="16" xfId="5" applyNumberFormat="1" applyFont="1" applyFill="1" applyBorder="1"/>
    <xf numFmtId="0" fontId="7" fillId="0" borderId="1" xfId="5" applyFont="1" applyFill="1" applyBorder="1"/>
    <xf numFmtId="0" fontId="2" fillId="0" borderId="0" xfId="5" applyFill="1"/>
    <xf numFmtId="0" fontId="7" fillId="0" borderId="0" xfId="5" applyFont="1" applyFill="1" applyAlignment="1">
      <alignment horizontal="right"/>
    </xf>
    <xf numFmtId="3" fontId="2" fillId="0" borderId="0" xfId="5" applyNumberFormat="1" applyFill="1"/>
    <xf numFmtId="0" fontId="8" fillId="0" borderId="1" xfId="5" applyFont="1" applyFill="1" applyBorder="1" applyAlignment="1">
      <alignment horizontal="center" wrapText="1"/>
    </xf>
    <xf numFmtId="165" fontId="12" fillId="0" borderId="1" xfId="5" applyNumberFormat="1" applyFont="1" applyFill="1" applyBorder="1" applyAlignment="1">
      <alignment vertical="center"/>
    </xf>
    <xf numFmtId="3" fontId="2" fillId="0" borderId="16" xfId="5" applyNumberFormat="1" applyFill="1" applyBorder="1"/>
    <xf numFmtId="165" fontId="12" fillId="0" borderId="1" xfId="5" applyNumberFormat="1" applyFont="1" applyFill="1" applyBorder="1" applyAlignment="1">
      <alignment horizontal="right" vertical="center"/>
    </xf>
    <xf numFmtId="0" fontId="2" fillId="0" borderId="1" xfId="5" applyFill="1" applyBorder="1"/>
    <xf numFmtId="0" fontId="2" fillId="0" borderId="0" xfId="5" applyFill="1" applyBorder="1"/>
    <xf numFmtId="0" fontId="11" fillId="0" borderId="1" xfId="5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 wrapText="1"/>
    </xf>
    <xf numFmtId="0" fontId="16" fillId="0" borderId="0" xfId="5" applyFont="1" applyFill="1"/>
    <xf numFmtId="0" fontId="23" fillId="0" borderId="1" xfId="5" applyFont="1" applyFill="1" applyBorder="1" applyAlignment="1">
      <alignment vertical="center"/>
    </xf>
    <xf numFmtId="165" fontId="7" fillId="0" borderId="1" xfId="5" applyNumberFormat="1" applyFont="1" applyFill="1" applyBorder="1" applyAlignment="1">
      <alignment vertical="center"/>
    </xf>
    <xf numFmtId="165" fontId="22" fillId="0" borderId="1" xfId="5" applyNumberFormat="1" applyFont="1" applyFill="1" applyBorder="1" applyAlignment="1">
      <alignment vertical="center"/>
    </xf>
    <xf numFmtId="165" fontId="22" fillId="0" borderId="1" xfId="5" applyNumberFormat="1" applyFont="1" applyFill="1" applyBorder="1" applyAlignment="1">
      <alignment horizontal="right" vertical="center"/>
    </xf>
    <xf numFmtId="0" fontId="24" fillId="0" borderId="1" xfId="5" applyFont="1" applyFill="1" applyBorder="1" applyAlignment="1">
      <alignment vertical="center"/>
    </xf>
    <xf numFmtId="0" fontId="19" fillId="0" borderId="1" xfId="5" applyFont="1" applyFill="1" applyBorder="1" applyAlignment="1">
      <alignment horizontal="center" vertical="center"/>
    </xf>
    <xf numFmtId="165" fontId="11" fillId="0" borderId="1" xfId="5" applyNumberFormat="1" applyFont="1" applyFill="1" applyBorder="1" applyAlignment="1">
      <alignment vertical="center"/>
    </xf>
    <xf numFmtId="165" fontId="11" fillId="0" borderId="1" xfId="6" applyNumberFormat="1" applyFont="1" applyFill="1" applyBorder="1" applyAlignment="1">
      <alignment horizontal="right" vertical="center"/>
    </xf>
    <xf numFmtId="0" fontId="8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vertical="center"/>
    </xf>
    <xf numFmtId="165" fontId="11" fillId="0" borderId="1" xfId="5" applyNumberFormat="1" applyFont="1" applyFill="1" applyBorder="1" applyAlignment="1">
      <alignment horizontal="right" vertical="center"/>
    </xf>
    <xf numFmtId="164" fontId="11" fillId="0" borderId="1" xfId="5" applyNumberFormat="1" applyFont="1" applyFill="1" applyBorder="1"/>
    <xf numFmtId="0" fontId="25" fillId="0" borderId="0" xfId="5" applyFont="1" applyFill="1"/>
    <xf numFmtId="0" fontId="25" fillId="0" borderId="1" xfId="5" applyFont="1" applyFill="1" applyBorder="1"/>
    <xf numFmtId="3" fontId="20" fillId="0" borderId="1" xfId="5" applyNumberFormat="1" applyFont="1" applyFill="1" applyBorder="1"/>
    <xf numFmtId="0" fontId="20" fillId="0" borderId="16" xfId="5" applyFont="1" applyFill="1" applyBorder="1"/>
    <xf numFmtId="0" fontId="29" fillId="0" borderId="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vertical="center"/>
    </xf>
    <xf numFmtId="0" fontId="12" fillId="0" borderId="1" xfId="5" applyFont="1" applyFill="1" applyBorder="1" applyAlignment="1">
      <alignment vertical="center" wrapText="1"/>
    </xf>
    <xf numFmtId="0" fontId="25" fillId="0" borderId="1" xfId="5" applyFont="1" applyFill="1" applyBorder="1" applyAlignment="1">
      <alignment vertical="center"/>
    </xf>
    <xf numFmtId="0" fontId="20" fillId="0" borderId="1" xfId="5" applyFont="1" applyFill="1" applyBorder="1" applyAlignment="1">
      <alignment horizontal="left" vertical="center" wrapText="1"/>
    </xf>
    <xf numFmtId="4" fontId="13" fillId="0" borderId="1" xfId="5" applyNumberFormat="1" applyFont="1" applyFill="1" applyBorder="1" applyAlignment="1">
      <alignment horizontal="right" vertical="center"/>
    </xf>
    <xf numFmtId="3" fontId="20" fillId="0" borderId="1" xfId="5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5" fillId="0" borderId="9" xfId="0" applyFont="1" applyBorder="1" applyAlignment="1">
      <alignment wrapText="1"/>
    </xf>
    <xf numFmtId="165" fontId="12" fillId="3" borderId="1" xfId="5" applyNumberFormat="1" applyFont="1" applyFill="1" applyBorder="1" applyAlignment="1">
      <alignment horizontal="right" vertical="center"/>
    </xf>
    <xf numFmtId="165" fontId="12" fillId="2" borderId="1" xfId="5" applyNumberFormat="1" applyFont="1" applyFill="1" applyBorder="1" applyAlignment="1">
      <alignment horizontal="right" vertical="center"/>
    </xf>
    <xf numFmtId="0" fontId="31" fillId="0" borderId="1" xfId="5" applyFont="1" applyFill="1" applyBorder="1" applyAlignment="1">
      <alignment horizontal="center"/>
    </xf>
    <xf numFmtId="0" fontId="32" fillId="0" borderId="1" xfId="5" applyFont="1" applyFill="1" applyBorder="1" applyAlignment="1">
      <alignment horizontal="center" vertical="center" wrapText="1"/>
    </xf>
    <xf numFmtId="0" fontId="33" fillId="0" borderId="1" xfId="5" applyFont="1" applyFill="1" applyBorder="1" applyAlignment="1">
      <alignment horizontal="center" vertical="center"/>
    </xf>
    <xf numFmtId="0" fontId="34" fillId="0" borderId="0" xfId="5" applyFont="1" applyFill="1"/>
    <xf numFmtId="165" fontId="16" fillId="0" borderId="1" xfId="5" applyNumberFormat="1" applyFont="1" applyFill="1" applyBorder="1"/>
    <xf numFmtId="165" fontId="11" fillId="0" borderId="1" xfId="1" applyNumberFormat="1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20" fillId="0" borderId="18" xfId="5" applyFont="1" applyFill="1" applyBorder="1" applyAlignment="1">
      <alignment horizontal="center"/>
    </xf>
    <xf numFmtId="0" fontId="20" fillId="0" borderId="18" xfId="5" applyFont="1" applyFill="1" applyBorder="1" applyAlignment="1">
      <alignment horizontal="right"/>
    </xf>
    <xf numFmtId="0" fontId="29" fillId="0" borderId="1" xfId="5" applyFont="1" applyFill="1" applyBorder="1" applyAlignment="1">
      <alignment horizontal="center" vertical="center"/>
    </xf>
    <xf numFmtId="165" fontId="12" fillId="4" borderId="1" xfId="2" applyNumberFormat="1" applyFont="1" applyFill="1" applyBorder="1" applyAlignment="1">
      <alignment vertical="center"/>
    </xf>
    <xf numFmtId="165" fontId="12" fillId="2" borderId="1" xfId="5" applyNumberFormat="1" applyFont="1" applyFill="1" applyBorder="1" applyAlignment="1">
      <alignment vertical="center"/>
    </xf>
    <xf numFmtId="165" fontId="13" fillId="2" borderId="1" xfId="5" applyNumberFormat="1" applyFont="1" applyFill="1" applyBorder="1" applyAlignment="1">
      <alignment horizontal="right" vertical="center"/>
    </xf>
    <xf numFmtId="165" fontId="21" fillId="2" borderId="1" xfId="5" applyNumberFormat="1" applyFont="1" applyFill="1" applyBorder="1" applyAlignment="1">
      <alignment horizontal="right" vertical="center"/>
    </xf>
    <xf numFmtId="165" fontId="20" fillId="2" borderId="1" xfId="5" applyNumberFormat="1" applyFont="1" applyFill="1" applyBorder="1" applyAlignment="1">
      <alignment horizontal="right" vertical="center" wrapText="1"/>
    </xf>
    <xf numFmtId="165" fontId="13" fillId="2" borderId="1" xfId="6" applyNumberFormat="1" applyFont="1" applyFill="1" applyBorder="1" applyAlignment="1">
      <alignment vertical="center"/>
    </xf>
    <xf numFmtId="165" fontId="13" fillId="2" borderId="1" xfId="6" applyNumberFormat="1" applyFont="1" applyFill="1" applyBorder="1" applyAlignment="1">
      <alignment horizontal="right" vertical="center"/>
    </xf>
    <xf numFmtId="165" fontId="12" fillId="2" borderId="1" xfId="2" applyNumberFormat="1" applyFont="1" applyFill="1" applyBorder="1" applyAlignment="1">
      <alignment vertical="center"/>
    </xf>
    <xf numFmtId="165" fontId="21" fillId="2" borderId="1" xfId="5" applyNumberFormat="1" applyFont="1" applyFill="1" applyBorder="1" applyAlignment="1">
      <alignment vertical="center"/>
    </xf>
    <xf numFmtId="0" fontId="19" fillId="0" borderId="16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/>
    <xf numFmtId="49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/>
    </xf>
    <xf numFmtId="0" fontId="4" fillId="0" borderId="22" xfId="0" applyFont="1" applyFill="1" applyBorder="1"/>
    <xf numFmtId="165" fontId="4" fillId="0" borderId="7" xfId="0" applyNumberFormat="1" applyFont="1" applyFill="1" applyBorder="1"/>
    <xf numFmtId="49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/>
    <xf numFmtId="49" fontId="5" fillId="0" borderId="2" xfId="0" applyNumberFormat="1" applyFont="1" applyFill="1" applyBorder="1" applyAlignment="1">
      <alignment horizontal="center"/>
    </xf>
    <xf numFmtId="165" fontId="5" fillId="0" borderId="33" xfId="0" applyNumberFormat="1" applyFont="1" applyFill="1" applyBorder="1"/>
    <xf numFmtId="49" fontId="5" fillId="0" borderId="8" xfId="0" applyNumberFormat="1" applyFont="1" applyFill="1" applyBorder="1" applyAlignment="1">
      <alignment horizontal="center"/>
    </xf>
    <xf numFmtId="0" fontId="5" fillId="0" borderId="9" xfId="0" applyFont="1" applyFill="1" applyBorder="1"/>
    <xf numFmtId="165" fontId="5" fillId="0" borderId="34" xfId="0" applyNumberFormat="1" applyFont="1" applyFill="1" applyBorder="1"/>
    <xf numFmtId="0" fontId="4" fillId="0" borderId="6" xfId="0" applyFont="1" applyFill="1" applyBorder="1"/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/>
    <xf numFmtId="165" fontId="4" fillId="0" borderId="35" xfId="0" applyNumberFormat="1" applyFont="1" applyFill="1" applyBorder="1"/>
    <xf numFmtId="165" fontId="4" fillId="0" borderId="28" xfId="0" applyNumberFormat="1" applyFont="1" applyFill="1" applyBorder="1"/>
    <xf numFmtId="0" fontId="4" fillId="0" borderId="6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9" fontId="5" fillId="0" borderId="9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/>
    <xf numFmtId="165" fontId="4" fillId="0" borderId="36" xfId="0" applyNumberFormat="1" applyFont="1" applyFill="1" applyBorder="1"/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/>
    <xf numFmtId="165" fontId="5" fillId="0" borderId="13" xfId="0" applyNumberFormat="1" applyFont="1" applyFill="1" applyBorder="1"/>
    <xf numFmtId="165" fontId="4" fillId="0" borderId="22" xfId="0" applyNumberFormat="1" applyFont="1" applyFill="1" applyBorder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0" borderId="6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vertical="center"/>
    </xf>
    <xf numFmtId="165" fontId="13" fillId="0" borderId="1" xfId="6" applyNumberFormat="1" applyFont="1" applyFill="1" applyBorder="1" applyAlignment="1">
      <alignment vertical="center" wrapText="1"/>
    </xf>
    <xf numFmtId="165" fontId="13" fillId="0" borderId="1" xfId="6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165" fontId="11" fillId="0" borderId="16" xfId="1" applyNumberFormat="1" applyFont="1" applyFill="1" applyBorder="1" applyAlignment="1">
      <alignment horizontal="center" vertical="center" wrapText="1"/>
    </xf>
    <xf numFmtId="165" fontId="11" fillId="0" borderId="24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0" fontId="7" fillId="0" borderId="18" xfId="5" applyFont="1" applyFill="1" applyBorder="1" applyAlignment="1">
      <alignment horizontal="right"/>
    </xf>
    <xf numFmtId="0" fontId="19" fillId="0" borderId="16" xfId="5" applyFont="1" applyFill="1" applyBorder="1" applyAlignment="1">
      <alignment horizontal="center" vertical="center" wrapText="1"/>
    </xf>
    <xf numFmtId="0" fontId="19" fillId="0" borderId="24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17" fillId="0" borderId="15" xfId="5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horizontal="center" vertical="center" wrapText="1"/>
    </xf>
    <xf numFmtId="0" fontId="17" fillId="0" borderId="26" xfId="5" applyFont="1" applyFill="1" applyBorder="1" applyAlignment="1">
      <alignment horizontal="center" vertical="center" wrapText="1"/>
    </xf>
    <xf numFmtId="0" fontId="17" fillId="0" borderId="25" xfId="5" applyFont="1" applyFill="1" applyBorder="1" applyAlignment="1">
      <alignment horizontal="center" vertical="center"/>
    </xf>
    <xf numFmtId="0" fontId="17" fillId="0" borderId="0" xfId="5" applyFont="1" applyFill="1" applyBorder="1" applyAlignment="1">
      <alignment horizontal="center" vertical="center"/>
    </xf>
    <xf numFmtId="0" fontId="17" fillId="0" borderId="27" xfId="5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right"/>
    </xf>
    <xf numFmtId="0" fontId="2" fillId="0" borderId="18" xfId="5" applyFill="1" applyBorder="1" applyAlignment="1">
      <alignment horizontal="right"/>
    </xf>
    <xf numFmtId="0" fontId="33" fillId="0" borderId="16" xfId="5" applyFont="1" applyFill="1" applyBorder="1" applyAlignment="1">
      <alignment horizontal="center" vertical="center" wrapText="1"/>
    </xf>
    <xf numFmtId="0" fontId="33" fillId="0" borderId="24" xfId="5" applyFont="1" applyFill="1" applyBorder="1" applyAlignment="1">
      <alignment horizontal="center" vertical="center" wrapText="1"/>
    </xf>
    <xf numFmtId="0" fontId="33" fillId="0" borderId="1" xfId="5" applyFont="1" applyFill="1" applyBorder="1" applyAlignment="1">
      <alignment horizontal="center" vertical="center" wrapText="1"/>
    </xf>
    <xf numFmtId="0" fontId="26" fillId="0" borderId="1" xfId="5" applyFont="1" applyFill="1" applyBorder="1" applyAlignment="1">
      <alignment horizontal="center" vertical="center" wrapText="1"/>
    </xf>
    <xf numFmtId="0" fontId="26" fillId="0" borderId="1" xfId="5" applyFont="1" applyFill="1" applyBorder="1" applyAlignment="1">
      <alignment horizontal="center" vertical="center"/>
    </xf>
    <xf numFmtId="0" fontId="20" fillId="0" borderId="18" xfId="5" applyFont="1" applyFill="1" applyBorder="1" applyAlignment="1">
      <alignment horizontal="center"/>
    </xf>
    <xf numFmtId="0" fontId="29" fillId="0" borderId="16" xfId="5" applyFont="1" applyFill="1" applyBorder="1" applyAlignment="1">
      <alignment horizontal="center" vertical="center" wrapText="1"/>
    </xf>
    <xf numFmtId="0" fontId="29" fillId="0" borderId="24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0" fontId="11" fillId="0" borderId="16" xfId="5" applyFont="1" applyFill="1" applyBorder="1" applyAlignment="1">
      <alignment horizontal="center" vertical="center" wrapText="1"/>
    </xf>
    <xf numFmtId="0" fontId="11" fillId="0" borderId="24" xfId="5" applyFont="1" applyFill="1" applyBorder="1" applyAlignment="1">
      <alignment horizontal="center" vertical="center" wrapText="1"/>
    </xf>
    <xf numFmtId="0" fontId="11" fillId="0" borderId="15" xfId="5" applyFont="1" applyFill="1" applyBorder="1" applyAlignment="1">
      <alignment horizontal="center" vertical="center" wrapText="1"/>
    </xf>
    <xf numFmtId="0" fontId="11" fillId="0" borderId="18" xfId="5" applyFont="1" applyFill="1" applyBorder="1" applyAlignment="1">
      <alignment horizontal="center" vertical="center" wrapText="1"/>
    </xf>
    <xf numFmtId="0" fontId="11" fillId="0" borderId="26" xfId="5" applyFont="1" applyFill="1" applyBorder="1" applyAlignment="1">
      <alignment horizontal="center" vertical="center" wrapText="1"/>
    </xf>
    <xf numFmtId="0" fontId="20" fillId="0" borderId="18" xfId="5" applyFont="1" applyFill="1" applyBorder="1" applyAlignment="1">
      <alignment horizontal="right"/>
    </xf>
    <xf numFmtId="0" fontId="26" fillId="0" borderId="25" xfId="5" applyFont="1" applyFill="1" applyBorder="1" applyAlignment="1">
      <alignment horizontal="center" vertical="center" wrapText="1"/>
    </xf>
    <xf numFmtId="0" fontId="26" fillId="0" borderId="0" xfId="5" applyFont="1" applyFill="1" applyBorder="1" applyAlignment="1">
      <alignment horizontal="center" vertical="center" wrapText="1"/>
    </xf>
    <xf numFmtId="0" fontId="26" fillId="0" borderId="27" xfId="5" applyFont="1" applyFill="1" applyBorder="1" applyAlignment="1">
      <alignment horizontal="center" vertical="center" wrapText="1"/>
    </xf>
    <xf numFmtId="0" fontId="29" fillId="0" borderId="1" xfId="5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Ezres 2" xfId="2"/>
    <cellStyle name="Ezres 3" xfId="6"/>
    <cellStyle name="Normál" xfId="0" builtinId="0"/>
    <cellStyle name="Normál 2" xfId="1"/>
    <cellStyle name="Normál 3" xfId="3"/>
    <cellStyle name="Normál 4" xfId="5"/>
    <cellStyle name="Százalék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.%20Korm&#225;nyos%20L&#225;szl&#243;/AppData/Local/Microsoft/Windows/Temporary%20Internet%20Files/Content.Outlook/1B4IU82W/2018.%20&#233;vi%20k&#246;lts&#233;gvet&#233;si%20t&#225;bl&#225;k_jav&#237;t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összevont"/>
      <sheetName val="1.2.kötelező"/>
      <sheetName val="1.3.önként"/>
      <sheetName val="1.4.államigazg"/>
      <sheetName val="2.1.műkmérleg"/>
      <sheetName val="2.2.felhmérleg"/>
      <sheetName val="3.1 Önk bev."/>
      <sheetName val="3.2 PMH bev."/>
      <sheetName val="3.3 GKP bev"/>
      <sheetName val="3.4 VE bev"/>
      <sheetName val="3.5 MH bev."/>
      <sheetName val="4.1.Önk kiad"/>
      <sheetName val="4.2.PMH kiad"/>
      <sheetName val="4.3. GKP kiad"/>
      <sheetName val="4.4. VE kiad"/>
      <sheetName val="4.5. MH kiad"/>
      <sheetName val="5.Beruh"/>
      <sheetName val="6.Felújít"/>
      <sheetName val="7.adóss keletk köt "/>
      <sheetName val="8.önk saját bev"/>
      <sheetName val="9.adóss.fejl"/>
      <sheetName val="10.EU-s"/>
    </sheetNames>
    <sheetDataSet>
      <sheetData sheetId="0">
        <row r="31">
          <cell r="D31">
            <v>0</v>
          </cell>
        </row>
        <row r="33">
          <cell r="D3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</sheetData>
      <sheetData sheetId="1"/>
      <sheetData sheetId="2">
        <row r="31">
          <cell r="C31">
            <v>0</v>
          </cell>
        </row>
        <row r="33">
          <cell r="C3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</sheetData>
      <sheetData sheetId="3">
        <row r="31">
          <cell r="C31">
            <v>0</v>
          </cell>
        </row>
        <row r="33">
          <cell r="C3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J6">
            <v>0</v>
          </cell>
          <cell r="K6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17"/>
  <sheetViews>
    <sheetView topLeftCell="A17" workbookViewId="0">
      <selection activeCell="E19" sqref="E19"/>
    </sheetView>
  </sheetViews>
  <sheetFormatPr defaultRowHeight="15.75" x14ac:dyDescent="0.25"/>
  <cols>
    <col min="1" max="1" width="9.140625" style="215"/>
    <col min="2" max="2" width="8.7109375" style="216" customWidth="1"/>
    <col min="3" max="3" width="60.42578125" style="215" customWidth="1"/>
    <col min="4" max="4" width="17.28515625" style="211" customWidth="1"/>
    <col min="5" max="5" width="16.5703125" style="211" customWidth="1"/>
    <col min="6" max="16384" width="9.140625" style="215"/>
  </cols>
  <sheetData>
    <row r="1" spans="1:5" x14ac:dyDescent="0.25">
      <c r="B1" s="344" t="s">
        <v>392</v>
      </c>
      <c r="C1" s="344"/>
      <c r="D1" s="344"/>
      <c r="E1" s="344"/>
    </row>
    <row r="2" spans="1:5" s="296" customFormat="1" x14ac:dyDescent="0.25">
      <c r="A2" s="343" t="s">
        <v>0</v>
      </c>
      <c r="B2" s="343"/>
      <c r="C2" s="343"/>
      <c r="D2" s="343"/>
      <c r="E2" s="343"/>
    </row>
    <row r="3" spans="1:5" s="296" customFormat="1" x14ac:dyDescent="0.25">
      <c r="A3" s="343" t="s">
        <v>393</v>
      </c>
      <c r="B3" s="343"/>
      <c r="C3" s="343"/>
      <c r="D3" s="343"/>
      <c r="E3" s="343"/>
    </row>
    <row r="4" spans="1:5" s="296" customFormat="1" x14ac:dyDescent="0.25">
      <c r="A4" s="343" t="s">
        <v>1</v>
      </c>
      <c r="B4" s="343"/>
      <c r="C4" s="343"/>
      <c r="D4" s="343"/>
      <c r="E4" s="343"/>
    </row>
    <row r="5" spans="1:5" s="296" customFormat="1" ht="16.5" thickBot="1" x14ac:dyDescent="0.3">
      <c r="B5" s="297" t="s">
        <v>86</v>
      </c>
      <c r="D5" s="298"/>
      <c r="E5" s="200"/>
    </row>
    <row r="6" spans="1:5" s="299" customFormat="1" ht="16.5" thickBot="1" x14ac:dyDescent="0.3">
      <c r="B6" s="300">
        <v>1</v>
      </c>
      <c r="C6" s="301">
        <v>2</v>
      </c>
      <c r="D6" s="302">
        <v>3</v>
      </c>
      <c r="E6" s="303">
        <v>4</v>
      </c>
    </row>
    <row r="7" spans="1:5" s="296" customFormat="1" ht="32.25" thickBot="1" x14ac:dyDescent="0.3">
      <c r="B7" s="304" t="s">
        <v>4</v>
      </c>
      <c r="C7" s="301" t="s">
        <v>2</v>
      </c>
      <c r="D7" s="305" t="s">
        <v>394</v>
      </c>
      <c r="E7" s="306" t="s">
        <v>395</v>
      </c>
    </row>
    <row r="8" spans="1:5" s="296" customFormat="1" ht="16.5" thickBot="1" x14ac:dyDescent="0.3">
      <c r="B8" s="307" t="s">
        <v>3</v>
      </c>
      <c r="C8" s="308" t="s">
        <v>16</v>
      </c>
      <c r="D8" s="309">
        <f>SUM(D9:D14)</f>
        <v>299157.57900000003</v>
      </c>
      <c r="E8" s="203">
        <f>SUM(E9:E14)</f>
        <v>318018.89199999999</v>
      </c>
    </row>
    <row r="9" spans="1:5" x14ac:dyDescent="0.25">
      <c r="B9" s="310" t="s">
        <v>6</v>
      </c>
      <c r="C9" s="311" t="s">
        <v>30</v>
      </c>
      <c r="D9" s="204">
        <v>102239.09</v>
      </c>
      <c r="E9" s="204">
        <v>102239.09</v>
      </c>
    </row>
    <row r="10" spans="1:5" x14ac:dyDescent="0.25">
      <c r="B10" s="312" t="s">
        <v>7</v>
      </c>
      <c r="C10" s="193" t="s">
        <v>31</v>
      </c>
      <c r="D10" s="313">
        <v>72321.217999999993</v>
      </c>
      <c r="E10" s="313">
        <v>72321.217999999993</v>
      </c>
    </row>
    <row r="11" spans="1:5" x14ac:dyDescent="0.25">
      <c r="B11" s="312" t="s">
        <v>8</v>
      </c>
      <c r="C11" s="193" t="s">
        <v>324</v>
      </c>
      <c r="D11" s="313">
        <v>120196.501</v>
      </c>
      <c r="E11" s="313">
        <f>120196.501+6042+6292</f>
        <v>132530.50099999999</v>
      </c>
    </row>
    <row r="12" spans="1:5" x14ac:dyDescent="0.25">
      <c r="B12" s="312" t="s">
        <v>9</v>
      </c>
      <c r="C12" s="193" t="s">
        <v>33</v>
      </c>
      <c r="D12" s="313">
        <v>4400.7700000000004</v>
      </c>
      <c r="E12" s="313">
        <f>4400.77+794.113+185.804</f>
        <v>5380.6870000000008</v>
      </c>
    </row>
    <row r="13" spans="1:5" x14ac:dyDescent="0.25">
      <c r="B13" s="312" t="s">
        <v>10</v>
      </c>
      <c r="C13" s="193" t="s">
        <v>34</v>
      </c>
      <c r="D13" s="313"/>
      <c r="E13" s="194">
        <f>1019+636.4+669.925+282.021+2940.05</f>
        <v>5547.3960000000006</v>
      </c>
    </row>
    <row r="14" spans="1:5" ht="16.5" thickBot="1" x14ac:dyDescent="0.3">
      <c r="B14" s="314" t="s">
        <v>11</v>
      </c>
      <c r="C14" s="315" t="s">
        <v>366</v>
      </c>
      <c r="D14" s="316"/>
      <c r="E14" s="194"/>
    </row>
    <row r="15" spans="1:5" s="296" customFormat="1" ht="16.5" thickBot="1" x14ac:dyDescent="0.3">
      <c r="B15" s="307" t="s">
        <v>5</v>
      </c>
      <c r="C15" s="317" t="s">
        <v>39</v>
      </c>
      <c r="D15" s="309">
        <f>SUM(D16:D17)</f>
        <v>148870</v>
      </c>
      <c r="E15" s="203">
        <f>SUM(E16:E17)</f>
        <v>179896.33300000001</v>
      </c>
    </row>
    <row r="16" spans="1:5" x14ac:dyDescent="0.25">
      <c r="B16" s="310" t="s">
        <v>12</v>
      </c>
      <c r="C16" s="311" t="s">
        <v>36</v>
      </c>
      <c r="D16" s="204"/>
      <c r="E16" s="194"/>
    </row>
    <row r="17" spans="2:5" x14ac:dyDescent="0.25">
      <c r="B17" s="312" t="s">
        <v>13</v>
      </c>
      <c r="C17" s="193" t="s">
        <v>37</v>
      </c>
      <c r="D17" s="313">
        <v>148870</v>
      </c>
      <c r="E17" s="194">
        <v>179896.33300000001</v>
      </c>
    </row>
    <row r="18" spans="2:5" ht="16.5" thickBot="1" x14ac:dyDescent="0.3">
      <c r="B18" s="314" t="s">
        <v>14</v>
      </c>
      <c r="C18" s="315" t="s">
        <v>38</v>
      </c>
      <c r="D18" s="316">
        <v>42772</v>
      </c>
      <c r="E18" s="194">
        <v>56182.720000000001</v>
      </c>
    </row>
    <row r="19" spans="2:5" s="296" customFormat="1" ht="16.5" thickBot="1" x14ac:dyDescent="0.3">
      <c r="B19" s="307" t="s">
        <v>15</v>
      </c>
      <c r="C19" s="317" t="s">
        <v>43</v>
      </c>
      <c r="D19" s="309">
        <f>SUM(D20:D21)</f>
        <v>322909</v>
      </c>
      <c r="E19" s="203">
        <f>SUM(E20:E21)</f>
        <v>313129.05499999999</v>
      </c>
    </row>
    <row r="20" spans="2:5" x14ac:dyDescent="0.25">
      <c r="B20" s="310" t="s">
        <v>17</v>
      </c>
      <c r="C20" s="311" t="s">
        <v>40</v>
      </c>
      <c r="D20" s="204">
        <v>15000</v>
      </c>
      <c r="E20" s="204">
        <v>15000</v>
      </c>
    </row>
    <row r="21" spans="2:5" x14ac:dyDescent="0.25">
      <c r="B21" s="312" t="s">
        <v>18</v>
      </c>
      <c r="C21" s="193" t="s">
        <v>41</v>
      </c>
      <c r="D21" s="313">
        <v>307909</v>
      </c>
      <c r="E21" s="313">
        <f>307909-9779.945</f>
        <v>298129.05499999999</v>
      </c>
    </row>
    <row r="22" spans="2:5" ht="16.5" thickBot="1" x14ac:dyDescent="0.3">
      <c r="B22" s="314" t="s">
        <v>19</v>
      </c>
      <c r="C22" s="315" t="s">
        <v>42</v>
      </c>
      <c r="D22" s="316">
        <v>307909</v>
      </c>
      <c r="E22" s="316">
        <v>298129.05499999999</v>
      </c>
    </row>
    <row r="23" spans="2:5" s="296" customFormat="1" ht="16.5" thickBot="1" x14ac:dyDescent="0.3">
      <c r="B23" s="307" t="s">
        <v>20</v>
      </c>
      <c r="C23" s="317" t="s">
        <v>21</v>
      </c>
      <c r="D23" s="309">
        <f>D24+D27+D28+D29</f>
        <v>102821</v>
      </c>
      <c r="E23" s="203">
        <f>E24+E27+E28+E29</f>
        <v>102821</v>
      </c>
    </row>
    <row r="24" spans="2:5" x14ac:dyDescent="0.25">
      <c r="B24" s="310" t="s">
        <v>22</v>
      </c>
      <c r="C24" s="311" t="s">
        <v>44</v>
      </c>
      <c r="D24" s="204">
        <f>D25+D26</f>
        <v>91027</v>
      </c>
      <c r="E24" s="205">
        <f>E25+E26</f>
        <v>91027</v>
      </c>
    </row>
    <row r="25" spans="2:5" x14ac:dyDescent="0.25">
      <c r="B25" s="312" t="s">
        <v>23</v>
      </c>
      <c r="C25" s="193" t="s">
        <v>45</v>
      </c>
      <c r="D25" s="313">
        <v>44</v>
      </c>
      <c r="E25" s="313">
        <v>44</v>
      </c>
    </row>
    <row r="26" spans="2:5" x14ac:dyDescent="0.25">
      <c r="B26" s="312" t="s">
        <v>24</v>
      </c>
      <c r="C26" s="193" t="s">
        <v>46</v>
      </c>
      <c r="D26" s="313">
        <v>90983</v>
      </c>
      <c r="E26" s="313">
        <v>90983</v>
      </c>
    </row>
    <row r="27" spans="2:5" x14ac:dyDescent="0.25">
      <c r="B27" s="312" t="s">
        <v>26</v>
      </c>
      <c r="C27" s="193" t="s">
        <v>47</v>
      </c>
      <c r="D27" s="313">
        <v>10605</v>
      </c>
      <c r="E27" s="313">
        <v>10605</v>
      </c>
    </row>
    <row r="28" spans="2:5" x14ac:dyDescent="0.25">
      <c r="B28" s="312" t="s">
        <v>27</v>
      </c>
      <c r="C28" s="193" t="s">
        <v>48</v>
      </c>
      <c r="D28" s="313">
        <v>700</v>
      </c>
      <c r="E28" s="313">
        <v>700</v>
      </c>
    </row>
    <row r="29" spans="2:5" ht="16.5" thickBot="1" x14ac:dyDescent="0.3">
      <c r="B29" s="314" t="s">
        <v>28</v>
      </c>
      <c r="C29" s="315" t="s">
        <v>49</v>
      </c>
      <c r="D29" s="316">
        <v>489</v>
      </c>
      <c r="E29" s="316">
        <v>489</v>
      </c>
    </row>
    <row r="30" spans="2:5" s="296" customFormat="1" ht="16.5" thickBot="1" x14ac:dyDescent="0.3">
      <c r="B30" s="307" t="s">
        <v>29</v>
      </c>
      <c r="C30" s="317" t="s">
        <v>50</v>
      </c>
      <c r="D30" s="309">
        <v>61573.3</v>
      </c>
      <c r="E30" s="309">
        <v>61573.3</v>
      </c>
    </row>
    <row r="31" spans="2:5" s="296" customFormat="1" ht="16.5" thickBot="1" x14ac:dyDescent="0.3">
      <c r="B31" s="318" t="s">
        <v>51</v>
      </c>
      <c r="C31" s="319" t="s">
        <v>52</v>
      </c>
      <c r="D31" s="320"/>
      <c r="E31" s="203"/>
    </row>
    <row r="32" spans="2:5" s="296" customFormat="1" ht="16.5" thickBot="1" x14ac:dyDescent="0.3">
      <c r="B32" s="307" t="s">
        <v>53</v>
      </c>
      <c r="C32" s="317" t="s">
        <v>159</v>
      </c>
      <c r="D32" s="309">
        <v>210</v>
      </c>
      <c r="E32" s="309">
        <v>210</v>
      </c>
    </row>
    <row r="33" spans="2:5" s="296" customFormat="1" ht="16.5" thickBot="1" x14ac:dyDescent="0.3">
      <c r="B33" s="307" t="s">
        <v>55</v>
      </c>
      <c r="C33" s="317" t="s">
        <v>56</v>
      </c>
      <c r="D33" s="309"/>
      <c r="E33" s="203"/>
    </row>
    <row r="34" spans="2:5" s="296" customFormat="1" ht="16.5" thickBot="1" x14ac:dyDescent="0.3">
      <c r="B34" s="307" t="s">
        <v>57</v>
      </c>
      <c r="C34" s="317" t="s">
        <v>136</v>
      </c>
      <c r="D34" s="309">
        <f>D8+D15+D19+D23+D30+D31+D32+D33</f>
        <v>935540.87900000007</v>
      </c>
      <c r="E34" s="203">
        <f>E8+E15+E19+E23+E30+E31+E32+E33</f>
        <v>975648.58000000007</v>
      </c>
    </row>
    <row r="35" spans="2:5" s="296" customFormat="1" ht="16.5" thickBot="1" x14ac:dyDescent="0.3">
      <c r="B35" s="307" t="s">
        <v>58</v>
      </c>
      <c r="C35" s="317" t="s">
        <v>59</v>
      </c>
      <c r="D35" s="309">
        <f>SUM(D36:D38)</f>
        <v>0</v>
      </c>
      <c r="E35" s="203">
        <f>SUM(E36:E38)</f>
        <v>37243.444000000003</v>
      </c>
    </row>
    <row r="36" spans="2:5" x14ac:dyDescent="0.25">
      <c r="B36" s="310" t="s">
        <v>60</v>
      </c>
      <c r="C36" s="311" t="s">
        <v>61</v>
      </c>
      <c r="D36" s="204"/>
      <c r="E36" s="206">
        <v>37243.444000000003</v>
      </c>
    </row>
    <row r="37" spans="2:5" x14ac:dyDescent="0.25">
      <c r="B37" s="312" t="s">
        <v>62</v>
      </c>
      <c r="C37" s="193" t="s">
        <v>63</v>
      </c>
      <c r="D37" s="313"/>
      <c r="E37" s="194"/>
    </row>
    <row r="38" spans="2:5" ht="16.5" thickBot="1" x14ac:dyDescent="0.3">
      <c r="B38" s="314" t="s">
        <v>64</v>
      </c>
      <c r="C38" s="315" t="s">
        <v>65</v>
      </c>
      <c r="D38" s="316"/>
      <c r="E38" s="209"/>
    </row>
    <row r="39" spans="2:5" s="296" customFormat="1" ht="16.5" thickBot="1" x14ac:dyDescent="0.3">
      <c r="B39" s="307" t="s">
        <v>66</v>
      </c>
      <c r="C39" s="317" t="s">
        <v>67</v>
      </c>
      <c r="D39" s="309"/>
      <c r="E39" s="203"/>
    </row>
    <row r="40" spans="2:5" s="296" customFormat="1" ht="16.5" thickBot="1" x14ac:dyDescent="0.3">
      <c r="B40" s="307" t="s">
        <v>68</v>
      </c>
      <c r="C40" s="317" t="s">
        <v>496</v>
      </c>
      <c r="D40" s="309">
        <v>457973.75300000003</v>
      </c>
      <c r="E40" s="203">
        <f>457973.753+5777.34+371.664+483.499+8.4</f>
        <v>464614.65600000008</v>
      </c>
    </row>
    <row r="41" spans="2:5" s="296" customFormat="1" ht="16.5" thickBot="1" x14ac:dyDescent="0.3">
      <c r="B41" s="307" t="s">
        <v>70</v>
      </c>
      <c r="C41" s="317" t="s">
        <v>71</v>
      </c>
      <c r="D41" s="309">
        <f>D42+D43</f>
        <v>0</v>
      </c>
      <c r="E41" s="203">
        <v>0</v>
      </c>
    </row>
    <row r="42" spans="2:5" x14ac:dyDescent="0.25">
      <c r="B42" s="310" t="s">
        <v>72</v>
      </c>
      <c r="C42" s="311" t="s">
        <v>73</v>
      </c>
      <c r="D42" s="204"/>
      <c r="E42" s="206"/>
    </row>
    <row r="43" spans="2:5" ht="16.5" thickBot="1" x14ac:dyDescent="0.3">
      <c r="B43" s="314" t="s">
        <v>74</v>
      </c>
      <c r="C43" s="315" t="s">
        <v>75</v>
      </c>
      <c r="D43" s="316"/>
      <c r="E43" s="209"/>
    </row>
    <row r="44" spans="2:5" s="296" customFormat="1" ht="16.5" thickBot="1" x14ac:dyDescent="0.3">
      <c r="B44" s="307" t="s">
        <v>76</v>
      </c>
      <c r="C44" s="317" t="s">
        <v>77</v>
      </c>
      <c r="D44" s="309"/>
      <c r="E44" s="203"/>
    </row>
    <row r="45" spans="2:5" s="296" customFormat="1" ht="16.5" thickBot="1" x14ac:dyDescent="0.3">
      <c r="B45" s="307" t="s">
        <v>78</v>
      </c>
      <c r="C45" s="317" t="s">
        <v>79</v>
      </c>
      <c r="D45" s="309"/>
      <c r="E45" s="203"/>
    </row>
    <row r="46" spans="2:5" s="296" customFormat="1" ht="16.5" thickBot="1" x14ac:dyDescent="0.3">
      <c r="B46" s="307" t="s">
        <v>80</v>
      </c>
      <c r="C46" s="317" t="s">
        <v>81</v>
      </c>
      <c r="D46" s="309"/>
      <c r="E46" s="321"/>
    </row>
    <row r="47" spans="2:5" s="296" customFormat="1" ht="16.5" thickBot="1" x14ac:dyDescent="0.3">
      <c r="B47" s="307" t="s">
        <v>82</v>
      </c>
      <c r="C47" s="317" t="s">
        <v>83</v>
      </c>
      <c r="D47" s="309">
        <f>D35+D39+D40+D41+D44+D45+D46</f>
        <v>457973.75300000003</v>
      </c>
      <c r="E47" s="203">
        <f>E35+E39+E40+E41+E44+E45+E46</f>
        <v>501858.10000000009</v>
      </c>
    </row>
    <row r="48" spans="2:5" s="296" customFormat="1" ht="32.25" thickBot="1" x14ac:dyDescent="0.3">
      <c r="B48" s="307" t="s">
        <v>84</v>
      </c>
      <c r="C48" s="322" t="s">
        <v>85</v>
      </c>
      <c r="D48" s="309">
        <f>D34+D47</f>
        <v>1393514.6320000002</v>
      </c>
      <c r="E48" s="203">
        <f>E34+E47</f>
        <v>1477506.6800000002</v>
      </c>
    </row>
    <row r="50" spans="2:5" x14ac:dyDescent="0.25">
      <c r="B50" s="343" t="s">
        <v>87</v>
      </c>
      <c r="C50" s="343"/>
      <c r="D50" s="343"/>
    </row>
    <row r="51" spans="2:5" ht="16.5" thickBot="1" x14ac:dyDescent="0.3">
      <c r="B51" s="297" t="s">
        <v>88</v>
      </c>
      <c r="C51" s="296"/>
      <c r="D51" s="200"/>
    </row>
    <row r="52" spans="2:5" s="323" customFormat="1" ht="32.25" thickBot="1" x14ac:dyDescent="0.3">
      <c r="B52" s="304" t="s">
        <v>4</v>
      </c>
      <c r="C52" s="301" t="s">
        <v>89</v>
      </c>
      <c r="D52" s="305" t="s">
        <v>394</v>
      </c>
      <c r="E52" s="202" t="s">
        <v>395</v>
      </c>
    </row>
    <row r="53" spans="2:5" ht="16.5" thickBot="1" x14ac:dyDescent="0.3">
      <c r="B53" s="307" t="s">
        <v>3</v>
      </c>
      <c r="C53" s="308" t="s">
        <v>107</v>
      </c>
      <c r="D53" s="309">
        <f>D54+D55+D56+D57+D58+D64</f>
        <v>737254.89899999998</v>
      </c>
      <c r="E53" s="203">
        <f>E54+E55+E56+E57+E58+E64</f>
        <v>788500.48499999987</v>
      </c>
    </row>
    <row r="54" spans="2:5" x14ac:dyDescent="0.25">
      <c r="B54" s="324" t="s">
        <v>6</v>
      </c>
      <c r="C54" s="311" t="s">
        <v>90</v>
      </c>
      <c r="D54" s="206">
        <v>351579</v>
      </c>
      <c r="E54" s="194">
        <v>388550.25400000002</v>
      </c>
    </row>
    <row r="55" spans="2:5" x14ac:dyDescent="0.25">
      <c r="B55" s="325" t="s">
        <v>7</v>
      </c>
      <c r="C55" s="193" t="s">
        <v>91</v>
      </c>
      <c r="D55" s="194">
        <v>62543.8</v>
      </c>
      <c r="E55" s="194">
        <v>69255.051999999996</v>
      </c>
    </row>
    <row r="56" spans="2:5" x14ac:dyDescent="0.25">
      <c r="B56" s="325" t="s">
        <v>8</v>
      </c>
      <c r="C56" s="193" t="s">
        <v>92</v>
      </c>
      <c r="D56" s="194">
        <v>257135.7</v>
      </c>
      <c r="E56" s="194">
        <v>262466.73800000001</v>
      </c>
    </row>
    <row r="57" spans="2:5" x14ac:dyDescent="0.25">
      <c r="B57" s="325" t="s">
        <v>9</v>
      </c>
      <c r="C57" s="193" t="s">
        <v>93</v>
      </c>
      <c r="D57" s="194">
        <v>5400</v>
      </c>
      <c r="E57" s="194">
        <v>9047.83</v>
      </c>
    </row>
    <row r="58" spans="2:5" x14ac:dyDescent="0.25">
      <c r="B58" s="325" t="s">
        <v>10</v>
      </c>
      <c r="C58" s="193" t="s">
        <v>94</v>
      </c>
      <c r="D58" s="194">
        <f>SUM(D59:D63)</f>
        <v>34490.1</v>
      </c>
      <c r="E58" s="194">
        <f>SUM(E59:E63)</f>
        <v>37580.1</v>
      </c>
    </row>
    <row r="59" spans="2:5" x14ac:dyDescent="0.25">
      <c r="B59" s="325" t="s">
        <v>11</v>
      </c>
      <c r="C59" s="326" t="s">
        <v>95</v>
      </c>
      <c r="D59" s="194">
        <v>3000</v>
      </c>
      <c r="E59" s="194">
        <v>3000</v>
      </c>
    </row>
    <row r="60" spans="2:5" x14ac:dyDescent="0.25">
      <c r="B60" s="325" t="s">
        <v>96</v>
      </c>
      <c r="C60" s="193" t="s">
        <v>102</v>
      </c>
      <c r="D60" s="194"/>
      <c r="E60" s="194"/>
    </row>
    <row r="61" spans="2:5" x14ac:dyDescent="0.25">
      <c r="B61" s="325" t="s">
        <v>97</v>
      </c>
      <c r="C61" s="193" t="s">
        <v>137</v>
      </c>
      <c r="D61" s="194"/>
      <c r="E61" s="194"/>
    </row>
    <row r="62" spans="2:5" x14ac:dyDescent="0.25">
      <c r="B62" s="325" t="s">
        <v>98</v>
      </c>
      <c r="C62" s="193" t="s">
        <v>138</v>
      </c>
      <c r="D62" s="194">
        <v>4378</v>
      </c>
      <c r="E62" s="194">
        <v>4378</v>
      </c>
    </row>
    <row r="63" spans="2:5" x14ac:dyDescent="0.25">
      <c r="B63" s="325" t="s">
        <v>99</v>
      </c>
      <c r="C63" s="193" t="s">
        <v>139</v>
      </c>
      <c r="D63" s="194">
        <v>27112.1</v>
      </c>
      <c r="E63" s="194">
        <v>30202.1</v>
      </c>
    </row>
    <row r="64" spans="2:5" x14ac:dyDescent="0.25">
      <c r="B64" s="325" t="s">
        <v>100</v>
      </c>
      <c r="C64" s="193" t="s">
        <v>101</v>
      </c>
      <c r="D64" s="194">
        <f>SUM(D65:D66)</f>
        <v>26106.298999999999</v>
      </c>
      <c r="E64" s="194">
        <f>SUM(E65:E66)</f>
        <v>21600.510999999999</v>
      </c>
    </row>
    <row r="65" spans="2:5" x14ac:dyDescent="0.25">
      <c r="B65" s="325" t="s">
        <v>103</v>
      </c>
      <c r="C65" s="193" t="s">
        <v>104</v>
      </c>
      <c r="D65" s="194">
        <f>13001.067-2050</f>
        <v>10951.066999999999</v>
      </c>
      <c r="E65" s="194">
        <v>2142.2800000000002</v>
      </c>
    </row>
    <row r="66" spans="2:5" ht="16.5" thickBot="1" x14ac:dyDescent="0.3">
      <c r="B66" s="327" t="s">
        <v>105</v>
      </c>
      <c r="C66" s="315" t="s">
        <v>106</v>
      </c>
      <c r="D66" s="209">
        <v>15155.232</v>
      </c>
      <c r="E66" s="194">
        <f>4343.619+5612.38+6656.232+2846</f>
        <v>19458.231</v>
      </c>
    </row>
    <row r="67" spans="2:5" ht="16.5" thickBot="1" x14ac:dyDescent="0.3">
      <c r="B67" s="307" t="s">
        <v>5</v>
      </c>
      <c r="C67" s="308" t="s">
        <v>120</v>
      </c>
      <c r="D67" s="309">
        <f>D68+D70+D72</f>
        <v>645332</v>
      </c>
      <c r="E67" s="203">
        <f>E68+E70+E72</f>
        <v>678078.46199999994</v>
      </c>
    </row>
    <row r="68" spans="2:5" x14ac:dyDescent="0.25">
      <c r="B68" s="324" t="s">
        <v>12</v>
      </c>
      <c r="C68" s="311" t="s">
        <v>108</v>
      </c>
      <c r="D68" s="206">
        <f>621489+500+700</f>
        <v>622689</v>
      </c>
      <c r="E68" s="194">
        <v>651208.11</v>
      </c>
    </row>
    <row r="69" spans="2:5" x14ac:dyDescent="0.25">
      <c r="B69" s="325" t="s">
        <v>109</v>
      </c>
      <c r="C69" s="193" t="s">
        <v>110</v>
      </c>
      <c r="D69" s="194">
        <f>606222</f>
        <v>606222</v>
      </c>
      <c r="E69" s="194">
        <f>606222-10294.564</f>
        <v>595927.43599999999</v>
      </c>
    </row>
    <row r="70" spans="2:5" x14ac:dyDescent="0.25">
      <c r="B70" s="325" t="s">
        <v>14</v>
      </c>
      <c r="C70" s="193" t="s">
        <v>111</v>
      </c>
      <c r="D70" s="194">
        <f>22143+500</f>
        <v>22643</v>
      </c>
      <c r="E70" s="194">
        <v>26870.351999999999</v>
      </c>
    </row>
    <row r="71" spans="2:5" x14ac:dyDescent="0.25">
      <c r="B71" s="325" t="s">
        <v>112</v>
      </c>
      <c r="C71" s="193" t="s">
        <v>113</v>
      </c>
      <c r="D71" s="194"/>
      <c r="E71" s="194"/>
    </row>
    <row r="72" spans="2:5" x14ac:dyDescent="0.25">
      <c r="B72" s="325" t="s">
        <v>114</v>
      </c>
      <c r="C72" s="193" t="s">
        <v>115</v>
      </c>
      <c r="D72" s="194"/>
      <c r="E72" s="194"/>
    </row>
    <row r="73" spans="2:5" x14ac:dyDescent="0.25">
      <c r="B73" s="325" t="s">
        <v>116</v>
      </c>
      <c r="C73" s="193" t="s">
        <v>117</v>
      </c>
      <c r="D73" s="194"/>
      <c r="E73" s="194"/>
    </row>
    <row r="74" spans="2:5" ht="16.5" thickBot="1" x14ac:dyDescent="0.3">
      <c r="B74" s="327" t="s">
        <v>118</v>
      </c>
      <c r="C74" s="315" t="s">
        <v>119</v>
      </c>
      <c r="D74" s="209"/>
      <c r="E74" s="194"/>
    </row>
    <row r="75" spans="2:5" ht="16.5" thickBot="1" x14ac:dyDescent="0.3">
      <c r="B75" s="307" t="s">
        <v>15</v>
      </c>
      <c r="C75" s="317" t="s">
        <v>121</v>
      </c>
      <c r="D75" s="309">
        <f>D53+D67</f>
        <v>1382586.899</v>
      </c>
      <c r="E75" s="203">
        <f>E53+E67</f>
        <v>1466578.9469999997</v>
      </c>
    </row>
    <row r="76" spans="2:5" ht="16.5" thickBot="1" x14ac:dyDescent="0.3">
      <c r="B76" s="307" t="s">
        <v>20</v>
      </c>
      <c r="C76" s="317" t="s">
        <v>125</v>
      </c>
      <c r="D76" s="309">
        <f>SUM(D77:D79)</f>
        <v>0</v>
      </c>
      <c r="E76" s="203">
        <f>SUM(E77:E79)</f>
        <v>0</v>
      </c>
    </row>
    <row r="77" spans="2:5" x14ac:dyDescent="0.25">
      <c r="B77" s="324" t="s">
        <v>22</v>
      </c>
      <c r="C77" s="311" t="s">
        <v>122</v>
      </c>
      <c r="D77" s="206"/>
      <c r="E77" s="194"/>
    </row>
    <row r="78" spans="2:5" x14ac:dyDescent="0.25">
      <c r="B78" s="325" t="s">
        <v>26</v>
      </c>
      <c r="C78" s="193" t="s">
        <v>123</v>
      </c>
      <c r="D78" s="194"/>
      <c r="E78" s="194"/>
    </row>
    <row r="79" spans="2:5" ht="16.5" thickBot="1" x14ac:dyDescent="0.3">
      <c r="B79" s="327" t="s">
        <v>27</v>
      </c>
      <c r="C79" s="315" t="s">
        <v>124</v>
      </c>
      <c r="D79" s="209"/>
      <c r="E79" s="209"/>
    </row>
    <row r="80" spans="2:5" ht="16.5" thickBot="1" x14ac:dyDescent="0.3">
      <c r="B80" s="328" t="s">
        <v>29</v>
      </c>
      <c r="C80" s="329" t="s">
        <v>126</v>
      </c>
      <c r="D80" s="330"/>
      <c r="E80" s="212"/>
    </row>
    <row r="81" spans="2:5" ht="16.5" thickBot="1" x14ac:dyDescent="0.3">
      <c r="B81" s="307" t="s">
        <v>51</v>
      </c>
      <c r="C81" s="317" t="s">
        <v>129</v>
      </c>
      <c r="D81" s="309">
        <f>D82</f>
        <v>10927.733</v>
      </c>
      <c r="E81" s="203">
        <f>E82</f>
        <v>10927.733</v>
      </c>
    </row>
    <row r="82" spans="2:5" ht="16.5" thickBot="1" x14ac:dyDescent="0.3">
      <c r="B82" s="331" t="s">
        <v>127</v>
      </c>
      <c r="C82" s="332" t="s">
        <v>128</v>
      </c>
      <c r="D82" s="333">
        <v>10927.733</v>
      </c>
      <c r="E82" s="213">
        <v>10927.733</v>
      </c>
    </row>
    <row r="83" spans="2:5" ht="16.5" thickBot="1" x14ac:dyDescent="0.3">
      <c r="B83" s="307" t="s">
        <v>53</v>
      </c>
      <c r="C83" s="317" t="s">
        <v>130</v>
      </c>
      <c r="D83" s="309"/>
      <c r="E83" s="212"/>
    </row>
    <row r="84" spans="2:5" ht="16.5" thickBot="1" x14ac:dyDescent="0.3">
      <c r="B84" s="307" t="s">
        <v>55</v>
      </c>
      <c r="C84" s="317" t="s">
        <v>131</v>
      </c>
      <c r="D84" s="309"/>
      <c r="E84" s="212"/>
    </row>
    <row r="85" spans="2:5" ht="16.5" thickBot="1" x14ac:dyDescent="0.3">
      <c r="B85" s="307" t="s">
        <v>132</v>
      </c>
      <c r="C85" s="317" t="s">
        <v>133</v>
      </c>
      <c r="D85" s="309"/>
      <c r="E85" s="206"/>
    </row>
    <row r="86" spans="2:5" ht="16.5" thickBot="1" x14ac:dyDescent="0.3">
      <c r="B86" s="307" t="s">
        <v>58</v>
      </c>
      <c r="C86" s="317" t="s">
        <v>134</v>
      </c>
      <c r="D86" s="309">
        <f>D76+D80+D81+D83+D84+D85</f>
        <v>10927.733</v>
      </c>
      <c r="E86" s="203">
        <f>E76+E80+E81+E83+E84+E85</f>
        <v>10927.733</v>
      </c>
    </row>
    <row r="87" spans="2:5" ht="16.5" thickBot="1" x14ac:dyDescent="0.3">
      <c r="B87" s="307" t="s">
        <v>66</v>
      </c>
      <c r="C87" s="317" t="s">
        <v>135</v>
      </c>
      <c r="D87" s="309">
        <f>D75+D86</f>
        <v>1393514.632</v>
      </c>
      <c r="E87" s="203">
        <f>E75+E86</f>
        <v>1477506.6799999997</v>
      </c>
    </row>
    <row r="89" spans="2:5" s="323" customFormat="1" ht="29.25" customHeight="1" x14ac:dyDescent="0.25">
      <c r="B89" s="342" t="s">
        <v>140</v>
      </c>
      <c r="C89" s="342"/>
      <c r="D89" s="342"/>
      <c r="E89" s="214"/>
    </row>
    <row r="90" spans="2:5" ht="16.5" thickBot="1" x14ac:dyDescent="0.3">
      <c r="B90" s="297" t="s">
        <v>141</v>
      </c>
      <c r="C90" s="296"/>
      <c r="D90" s="298"/>
    </row>
    <row r="91" spans="2:5" ht="32.25" thickBot="1" x14ac:dyDescent="0.3">
      <c r="B91" s="307" t="s">
        <v>3</v>
      </c>
      <c r="C91" s="322" t="s">
        <v>142</v>
      </c>
      <c r="D91" s="334">
        <f>D34-D75</f>
        <v>-447046.0199999999</v>
      </c>
      <c r="E91" s="203">
        <f>E34-E75</f>
        <v>-490930.36699999962</v>
      </c>
    </row>
    <row r="92" spans="2:5" ht="32.25" thickBot="1" x14ac:dyDescent="0.3">
      <c r="B92" s="307" t="s">
        <v>5</v>
      </c>
      <c r="C92" s="322" t="s">
        <v>143</v>
      </c>
      <c r="D92" s="334">
        <f>D47-D86</f>
        <v>447046.02</v>
      </c>
      <c r="E92" s="203">
        <f>E47-E86</f>
        <v>490930.36700000009</v>
      </c>
    </row>
    <row r="95" spans="2:5" x14ac:dyDescent="0.25">
      <c r="C95" s="335" t="s">
        <v>367</v>
      </c>
    </row>
    <row r="96" spans="2:5" x14ac:dyDescent="0.25">
      <c r="C96" s="215" t="s">
        <v>0</v>
      </c>
    </row>
    <row r="97" spans="3:3" x14ac:dyDescent="0.25">
      <c r="C97" s="215" t="s">
        <v>368</v>
      </c>
    </row>
    <row r="98" spans="3:3" x14ac:dyDescent="0.25">
      <c r="C98" s="215" t="s">
        <v>377</v>
      </c>
    </row>
    <row r="99" spans="3:3" x14ac:dyDescent="0.25">
      <c r="C99" s="215" t="s">
        <v>378</v>
      </c>
    </row>
    <row r="100" spans="3:3" x14ac:dyDescent="0.25">
      <c r="C100" s="215" t="s">
        <v>498</v>
      </c>
    </row>
    <row r="101" spans="3:3" x14ac:dyDescent="0.25">
      <c r="C101" s="215" t="s">
        <v>497</v>
      </c>
    </row>
    <row r="103" spans="3:3" x14ac:dyDescent="0.25">
      <c r="C103" s="215" t="s">
        <v>369</v>
      </c>
    </row>
    <row r="104" spans="3:3" x14ac:dyDescent="0.25">
      <c r="C104" s="215" t="s">
        <v>376</v>
      </c>
    </row>
    <row r="105" spans="3:3" x14ac:dyDescent="0.25">
      <c r="C105" s="215" t="s">
        <v>370</v>
      </c>
    </row>
    <row r="107" spans="3:3" x14ac:dyDescent="0.25">
      <c r="C107" s="215" t="s">
        <v>371</v>
      </c>
    </row>
    <row r="108" spans="3:3" x14ac:dyDescent="0.25">
      <c r="C108" s="215" t="s">
        <v>499</v>
      </c>
    </row>
    <row r="110" spans="3:3" x14ac:dyDescent="0.25">
      <c r="C110" s="215" t="s">
        <v>372</v>
      </c>
    </row>
    <row r="111" spans="3:3" x14ac:dyDescent="0.25">
      <c r="C111" s="215" t="s">
        <v>373</v>
      </c>
    </row>
    <row r="113" spans="3:3" x14ac:dyDescent="0.25">
      <c r="C113" s="215" t="s">
        <v>374</v>
      </c>
    </row>
    <row r="114" spans="3:3" x14ac:dyDescent="0.25">
      <c r="C114" s="215" t="s">
        <v>375</v>
      </c>
    </row>
    <row r="115" spans="3:3" x14ac:dyDescent="0.25">
      <c r="C115" s="215" t="s">
        <v>501</v>
      </c>
    </row>
    <row r="117" spans="3:3" x14ac:dyDescent="0.25">
      <c r="C117" s="215" t="s">
        <v>500</v>
      </c>
    </row>
  </sheetData>
  <mergeCells count="6">
    <mergeCell ref="B89:D89"/>
    <mergeCell ref="B50:D50"/>
    <mergeCell ref="B1:E1"/>
    <mergeCell ref="A2:E2"/>
    <mergeCell ref="A3:E3"/>
    <mergeCell ref="A4:E4"/>
  </mergeCells>
  <pageMargins left="0.70866141732283461" right="0.70866141732283461" top="0.74803149606299213" bottom="0.74803149606299213" header="0.31496062992125984" footer="0.31496062992125984"/>
  <pageSetup paperSize="9" scale="76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7"/>
  <sheetViews>
    <sheetView view="pageBreakPreview" topLeftCell="B1" zoomScaleNormal="100" zoomScaleSheetLayoutView="100" workbookViewId="0">
      <selection activeCell="Q5" sqref="Q5"/>
    </sheetView>
  </sheetViews>
  <sheetFormatPr defaultRowHeight="15" x14ac:dyDescent="0.25"/>
  <cols>
    <col min="1" max="1" width="5.28515625" style="231" customWidth="1"/>
    <col min="2" max="2" width="13.28515625" style="231" customWidth="1"/>
    <col min="3" max="3" width="35.140625" style="231" customWidth="1"/>
    <col min="4" max="5" width="10.7109375" style="231" customWidth="1"/>
    <col min="6" max="7" width="13.7109375" style="231" customWidth="1"/>
    <col min="8" max="9" width="13.85546875" style="231" customWidth="1"/>
    <col min="10" max="11" width="13.28515625" style="231" customWidth="1"/>
    <col min="12" max="13" width="15.28515625" style="231" customWidth="1"/>
    <col min="14" max="15" width="13.85546875" style="231" customWidth="1"/>
    <col min="16" max="17" width="14.140625" style="231" customWidth="1"/>
    <col min="18" max="18" width="11.42578125" style="231" customWidth="1"/>
    <col min="19" max="19" width="11.28515625" style="231" bestFit="1" customWidth="1"/>
    <col min="20" max="16384" width="9.140625" style="231"/>
  </cols>
  <sheetData>
    <row r="1" spans="1:19" x14ac:dyDescent="0.25">
      <c r="L1" s="373" t="s">
        <v>415</v>
      </c>
      <c r="M1" s="373"/>
      <c r="N1" s="374"/>
      <c r="O1" s="374"/>
      <c r="P1" s="374"/>
      <c r="Q1" s="374"/>
      <c r="R1" s="374"/>
    </row>
    <row r="2" spans="1:19" ht="54.75" customHeight="1" x14ac:dyDescent="0.25">
      <c r="A2" s="218">
        <v>1</v>
      </c>
      <c r="B2" s="218"/>
      <c r="C2" s="371" t="s">
        <v>416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238"/>
    </row>
    <row r="3" spans="1:19" ht="84" customHeight="1" x14ac:dyDescent="0.25">
      <c r="A3" s="218">
        <v>2</v>
      </c>
      <c r="B3" s="219" t="s">
        <v>258</v>
      </c>
      <c r="C3" s="221" t="s">
        <v>203</v>
      </c>
      <c r="D3" s="362" t="s">
        <v>158</v>
      </c>
      <c r="E3" s="363"/>
      <c r="F3" s="362" t="s">
        <v>157</v>
      </c>
      <c r="G3" s="363"/>
      <c r="H3" s="362" t="s">
        <v>205</v>
      </c>
      <c r="I3" s="363"/>
      <c r="J3" s="362" t="s">
        <v>206</v>
      </c>
      <c r="K3" s="363"/>
      <c r="L3" s="362" t="s">
        <v>207</v>
      </c>
      <c r="M3" s="363"/>
      <c r="N3" s="362" t="s">
        <v>249</v>
      </c>
      <c r="O3" s="363"/>
      <c r="P3" s="362" t="s">
        <v>250</v>
      </c>
      <c r="Q3" s="363"/>
      <c r="R3" s="362" t="s">
        <v>208</v>
      </c>
      <c r="S3" s="363"/>
    </row>
    <row r="4" spans="1:19" s="242" customFormat="1" ht="28.5" x14ac:dyDescent="0.25">
      <c r="A4" s="240">
        <v>3</v>
      </c>
      <c r="B4" s="241"/>
      <c r="C4" s="221" t="s">
        <v>251</v>
      </c>
      <c r="D4" s="222" t="s">
        <v>412</v>
      </c>
      <c r="E4" s="64" t="s">
        <v>407</v>
      </c>
      <c r="F4" s="222" t="s">
        <v>412</v>
      </c>
      <c r="G4" s="64" t="s">
        <v>407</v>
      </c>
      <c r="H4" s="222" t="s">
        <v>412</v>
      </c>
      <c r="I4" s="64" t="s">
        <v>407</v>
      </c>
      <c r="J4" s="222" t="s">
        <v>412</v>
      </c>
      <c r="K4" s="64" t="s">
        <v>407</v>
      </c>
      <c r="L4" s="222" t="s">
        <v>412</v>
      </c>
      <c r="M4" s="64" t="s">
        <v>407</v>
      </c>
      <c r="N4" s="222" t="s">
        <v>412</v>
      </c>
      <c r="O4" s="64" t="s">
        <v>407</v>
      </c>
      <c r="P4" s="222" t="s">
        <v>412</v>
      </c>
      <c r="Q4" s="64" t="s">
        <v>407</v>
      </c>
      <c r="R4" s="222" t="s">
        <v>412</v>
      </c>
      <c r="S4" s="64" t="s">
        <v>407</v>
      </c>
    </row>
    <row r="5" spans="1:19" x14ac:dyDescent="0.25">
      <c r="A5" s="218">
        <v>4</v>
      </c>
      <c r="B5" s="243" t="s">
        <v>210</v>
      </c>
      <c r="C5" s="54" t="s">
        <v>269</v>
      </c>
      <c r="D5" s="244">
        <v>305.10000000000002</v>
      </c>
      <c r="E5" s="244">
        <v>305.10000000000002</v>
      </c>
      <c r="F5" s="244"/>
      <c r="G5" s="244"/>
      <c r="H5" s="245"/>
      <c r="I5" s="245"/>
      <c r="J5" s="245"/>
      <c r="K5" s="245"/>
      <c r="L5" s="245"/>
      <c r="M5" s="245"/>
      <c r="N5" s="245"/>
      <c r="O5" s="245"/>
      <c r="P5" s="246">
        <v>97092.9</v>
      </c>
      <c r="Q5" s="246">
        <f>97515.3+34.257</f>
        <v>97549.557000000001</v>
      </c>
      <c r="R5" s="226">
        <f>D5+F5+H5+J5+L5+N5+P5</f>
        <v>97398</v>
      </c>
      <c r="S5" s="226">
        <f>E5+G5+I5+K5+M5+O5+Q5</f>
        <v>97854.657000000007</v>
      </c>
    </row>
    <row r="6" spans="1:19" x14ac:dyDescent="0.25">
      <c r="A6" s="218">
        <v>5</v>
      </c>
      <c r="B6" s="243" t="s">
        <v>214</v>
      </c>
      <c r="C6" s="54" t="s">
        <v>270</v>
      </c>
      <c r="D6" s="244"/>
      <c r="E6" s="244"/>
      <c r="F6" s="244"/>
      <c r="G6" s="244"/>
      <c r="H6" s="245"/>
      <c r="I6" s="245"/>
      <c r="J6" s="245"/>
      <c r="K6" s="245"/>
      <c r="L6" s="245"/>
      <c r="M6" s="245"/>
      <c r="N6" s="245"/>
      <c r="O6" s="245"/>
      <c r="P6" s="246">
        <v>170</v>
      </c>
      <c r="Q6" s="246">
        <v>170</v>
      </c>
      <c r="R6" s="226">
        <f t="shared" ref="R6:S7" si="0">D6+F6+H6+J6+L6+N6+P6</f>
        <v>170</v>
      </c>
      <c r="S6" s="226">
        <f t="shared" si="0"/>
        <v>170</v>
      </c>
    </row>
    <row r="7" spans="1:19" s="242" customFormat="1" x14ac:dyDescent="0.25">
      <c r="A7" s="218">
        <v>6</v>
      </c>
      <c r="B7" s="247"/>
      <c r="C7" s="248" t="s">
        <v>253</v>
      </c>
      <c r="D7" s="249">
        <f t="shared" ref="D7:N7" si="1">SUM(D5:D6)</f>
        <v>305.10000000000002</v>
      </c>
      <c r="E7" s="249">
        <f t="shared" ref="E7" si="2">SUM(E5:E6)</f>
        <v>305.10000000000002</v>
      </c>
      <c r="F7" s="249">
        <f t="shared" si="1"/>
        <v>0</v>
      </c>
      <c r="G7" s="249">
        <f t="shared" ref="G7" si="3">SUM(G5:G6)</f>
        <v>0</v>
      </c>
      <c r="H7" s="249">
        <f t="shared" si="1"/>
        <v>0</v>
      </c>
      <c r="I7" s="249">
        <f t="shared" ref="I7" si="4">SUM(I5:I6)</f>
        <v>0</v>
      </c>
      <c r="J7" s="249">
        <f t="shared" si="1"/>
        <v>0</v>
      </c>
      <c r="K7" s="249">
        <f t="shared" ref="K7" si="5">SUM(K5:K6)</f>
        <v>0</v>
      </c>
      <c r="L7" s="249">
        <f t="shared" si="1"/>
        <v>0</v>
      </c>
      <c r="M7" s="249">
        <f t="shared" ref="M7" si="6">SUM(M5:M6)</f>
        <v>0</v>
      </c>
      <c r="N7" s="249">
        <f t="shared" si="1"/>
        <v>0</v>
      </c>
      <c r="O7" s="249">
        <f t="shared" ref="O7" si="7">SUM(O5:O6)</f>
        <v>0</v>
      </c>
      <c r="P7" s="250">
        <f>SUM(P5:P6)</f>
        <v>97262.9</v>
      </c>
      <c r="Q7" s="250">
        <f>SUM(Q5:Q6)</f>
        <v>97719.557000000001</v>
      </c>
      <c r="R7" s="226">
        <f t="shared" si="0"/>
        <v>97568</v>
      </c>
      <c r="S7" s="226">
        <f t="shared" si="0"/>
        <v>98024.657000000007</v>
      </c>
    </row>
    <row r="8" spans="1:19" x14ac:dyDescent="0.25">
      <c r="A8" s="218">
        <v>7</v>
      </c>
      <c r="B8" s="243"/>
      <c r="C8" s="54" t="s">
        <v>239</v>
      </c>
      <c r="D8" s="228">
        <f t="shared" ref="D8:S8" si="8">SUMIF($B5:$B6,"kötelező",D5:D6)</f>
        <v>305.10000000000002</v>
      </c>
      <c r="E8" s="228">
        <f t="shared" ref="E8" si="9">SUMIF($B5:$B6,"kötelező",E5:E6)</f>
        <v>305.10000000000002</v>
      </c>
      <c r="F8" s="228">
        <f t="shared" si="8"/>
        <v>0</v>
      </c>
      <c r="G8" s="228">
        <f t="shared" ref="G8" si="10">SUMIF($B5:$B6,"kötelező",G5:G6)</f>
        <v>0</v>
      </c>
      <c r="H8" s="228">
        <f t="shared" si="8"/>
        <v>0</v>
      </c>
      <c r="I8" s="228">
        <f t="shared" ref="I8" si="11">SUMIF($B5:$B6,"kötelező",I5:I6)</f>
        <v>0</v>
      </c>
      <c r="J8" s="228">
        <f t="shared" si="8"/>
        <v>0</v>
      </c>
      <c r="K8" s="228">
        <f t="shared" ref="K8" si="12">SUMIF($B5:$B6,"kötelező",K5:K6)</f>
        <v>0</v>
      </c>
      <c r="L8" s="228">
        <f t="shared" si="8"/>
        <v>0</v>
      </c>
      <c r="M8" s="228">
        <f t="shared" ref="M8" si="13">SUMIF($B5:$B6,"kötelező",M5:M6)</f>
        <v>0</v>
      </c>
      <c r="N8" s="228">
        <f t="shared" si="8"/>
        <v>0</v>
      </c>
      <c r="O8" s="228">
        <f t="shared" ref="O8" si="14">SUMIF($B5:$B6,"kötelező",O5:O6)</f>
        <v>0</v>
      </c>
      <c r="P8" s="228">
        <f t="shared" si="8"/>
        <v>97092.9</v>
      </c>
      <c r="Q8" s="228">
        <f t="shared" si="8"/>
        <v>97549.557000000001</v>
      </c>
      <c r="R8" s="228">
        <f t="shared" si="8"/>
        <v>97398</v>
      </c>
      <c r="S8" s="228">
        <f t="shared" si="8"/>
        <v>97854.657000000007</v>
      </c>
    </row>
    <row r="9" spans="1:19" x14ac:dyDescent="0.25">
      <c r="A9" s="218">
        <v>8</v>
      </c>
      <c r="B9" s="243"/>
      <c r="C9" s="54" t="s">
        <v>240</v>
      </c>
      <c r="D9" s="228">
        <f t="shared" ref="D9:S9" si="15">SUMIF($B5:$B6,"nem kötelező",D5:D6)</f>
        <v>0</v>
      </c>
      <c r="E9" s="228">
        <f t="shared" ref="E9" si="16">SUMIF($B5:$B6,"nem kötelező",E5:E6)</f>
        <v>0</v>
      </c>
      <c r="F9" s="228">
        <f t="shared" si="15"/>
        <v>0</v>
      </c>
      <c r="G9" s="228">
        <f t="shared" ref="G9" si="17">SUMIF($B5:$B6,"nem kötelező",G5:G6)</f>
        <v>0</v>
      </c>
      <c r="H9" s="228">
        <f t="shared" si="15"/>
        <v>0</v>
      </c>
      <c r="I9" s="228">
        <f t="shared" ref="I9" si="18">SUMIF($B5:$B6,"nem kötelező",I5:I6)</f>
        <v>0</v>
      </c>
      <c r="J9" s="228">
        <f t="shared" si="15"/>
        <v>0</v>
      </c>
      <c r="K9" s="228">
        <f t="shared" ref="K9" si="19">SUMIF($B5:$B6,"nem kötelező",K5:K6)</f>
        <v>0</v>
      </c>
      <c r="L9" s="228">
        <f t="shared" si="15"/>
        <v>0</v>
      </c>
      <c r="M9" s="228">
        <f t="shared" ref="M9" si="20">SUMIF($B5:$B6,"nem kötelező",M5:M6)</f>
        <v>0</v>
      </c>
      <c r="N9" s="228">
        <f t="shared" si="15"/>
        <v>0</v>
      </c>
      <c r="O9" s="228">
        <f t="shared" ref="O9" si="21">SUMIF($B5:$B6,"nem kötelező",O5:O6)</f>
        <v>0</v>
      </c>
      <c r="P9" s="228">
        <f t="shared" si="15"/>
        <v>170</v>
      </c>
      <c r="Q9" s="228">
        <f t="shared" si="15"/>
        <v>170</v>
      </c>
      <c r="R9" s="228">
        <f t="shared" si="15"/>
        <v>170</v>
      </c>
      <c r="S9" s="228">
        <f t="shared" si="15"/>
        <v>170</v>
      </c>
    </row>
    <row r="10" spans="1:19" x14ac:dyDescent="0.25"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</row>
    <row r="17" spans="6:6" x14ac:dyDescent="0.25">
      <c r="F17" s="231" t="s">
        <v>271</v>
      </c>
    </row>
  </sheetData>
  <mergeCells count="10">
    <mergeCell ref="C2:R2"/>
    <mergeCell ref="L1:R1"/>
    <mergeCell ref="D3:E3"/>
    <mergeCell ref="F3:G3"/>
    <mergeCell ref="H3:I3"/>
    <mergeCell ref="J3:K3"/>
    <mergeCell ref="L3:M3"/>
    <mergeCell ref="N3:O3"/>
    <mergeCell ref="P3:Q3"/>
    <mergeCell ref="R3:S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17"/>
  <sheetViews>
    <sheetView view="pageLayout" topLeftCell="B1" zoomScaleNormal="100" workbookViewId="0">
      <selection activeCell="H23" sqref="H23:J23"/>
    </sheetView>
  </sheetViews>
  <sheetFormatPr defaultRowHeight="15" x14ac:dyDescent="0.25"/>
  <cols>
    <col min="1" max="1" width="5.28515625" style="231" customWidth="1"/>
    <col min="2" max="2" width="13.28515625" style="231" customWidth="1"/>
    <col min="3" max="3" width="28" style="231" customWidth="1"/>
    <col min="4" max="4" width="10.85546875" style="231" bestFit="1" customWidth="1"/>
    <col min="5" max="5" width="10.140625" style="231" bestFit="1" customWidth="1"/>
    <col min="6" max="6" width="10.5703125" style="231" bestFit="1" customWidth="1"/>
    <col min="7" max="7" width="8.42578125" style="231" bestFit="1" customWidth="1"/>
    <col min="8" max="8" width="16" style="231" customWidth="1"/>
    <col min="9" max="9" width="11.28515625" style="231" bestFit="1" customWidth="1"/>
    <col min="10" max="10" width="10.85546875" style="231" bestFit="1" customWidth="1"/>
    <col min="11" max="11" width="8.42578125" style="231" bestFit="1" customWidth="1"/>
    <col min="12" max="12" width="10.5703125" style="231" bestFit="1" customWidth="1"/>
    <col min="13" max="13" width="8.42578125" style="231" bestFit="1" customWidth="1"/>
    <col min="14" max="14" width="10.85546875" style="231" bestFit="1" customWidth="1"/>
    <col min="15" max="15" width="8.42578125" style="231" bestFit="1" customWidth="1"/>
    <col min="16" max="16" width="16" style="231" customWidth="1"/>
    <col min="17" max="17" width="11.28515625" style="231" bestFit="1" customWidth="1"/>
    <col min="18" max="18" width="10.5703125" style="231" bestFit="1" customWidth="1"/>
    <col min="19" max="19" width="9.5703125" style="231" customWidth="1"/>
    <col min="20" max="20" width="12.140625" style="231" customWidth="1"/>
    <col min="21" max="21" width="0" style="233" hidden="1" customWidth="1"/>
    <col min="22" max="22" width="11.28515625" style="231" bestFit="1" customWidth="1"/>
    <col min="23" max="16384" width="9.140625" style="231"/>
  </cols>
  <sheetData>
    <row r="1" spans="1:22" x14ac:dyDescent="0.25">
      <c r="N1" s="217"/>
      <c r="O1" s="217"/>
      <c r="P1" s="217"/>
      <c r="Q1" s="217"/>
      <c r="R1" s="217"/>
      <c r="S1" s="217"/>
      <c r="T1" s="232" t="s">
        <v>417</v>
      </c>
    </row>
    <row r="2" spans="1:22" x14ac:dyDescent="0.25">
      <c r="A2" s="218"/>
      <c r="B2" s="218"/>
      <c r="C2" s="218" t="s">
        <v>148</v>
      </c>
      <c r="D2" s="218" t="s">
        <v>170</v>
      </c>
      <c r="E2" s="218"/>
      <c r="F2" s="218" t="s">
        <v>150</v>
      </c>
      <c r="G2" s="218"/>
      <c r="H2" s="218" t="s">
        <v>189</v>
      </c>
      <c r="I2" s="218"/>
      <c r="J2" s="218" t="s">
        <v>199</v>
      </c>
      <c r="K2" s="218"/>
      <c r="L2" s="218" t="s">
        <v>201</v>
      </c>
      <c r="M2" s="218"/>
      <c r="N2" s="218" t="s">
        <v>255</v>
      </c>
      <c r="O2" s="218"/>
      <c r="P2" s="218" t="s">
        <v>256</v>
      </c>
      <c r="Q2" s="218"/>
      <c r="R2" s="218"/>
      <c r="S2" s="218"/>
      <c r="T2" s="218" t="s">
        <v>257</v>
      </c>
      <c r="V2" s="238"/>
    </row>
    <row r="3" spans="1:22" ht="18.75" x14ac:dyDescent="0.25">
      <c r="A3" s="218">
        <v>1</v>
      </c>
      <c r="B3" s="368" t="s">
        <v>418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70"/>
    </row>
    <row r="4" spans="1:22" s="277" customFormat="1" ht="57" customHeight="1" x14ac:dyDescent="0.2">
      <c r="A4" s="274">
        <v>2</v>
      </c>
      <c r="B4" s="275" t="s">
        <v>258</v>
      </c>
      <c r="C4" s="276" t="s">
        <v>203</v>
      </c>
      <c r="D4" s="375" t="s">
        <v>158</v>
      </c>
      <c r="E4" s="376"/>
      <c r="F4" s="375" t="s">
        <v>157</v>
      </c>
      <c r="G4" s="376"/>
      <c r="H4" s="375" t="s">
        <v>205</v>
      </c>
      <c r="I4" s="376"/>
      <c r="J4" s="375" t="s">
        <v>206</v>
      </c>
      <c r="K4" s="376"/>
      <c r="L4" s="375" t="s">
        <v>207</v>
      </c>
      <c r="M4" s="376"/>
      <c r="N4" s="375" t="s">
        <v>249</v>
      </c>
      <c r="O4" s="376"/>
      <c r="P4" s="375" t="s">
        <v>250</v>
      </c>
      <c r="Q4" s="376"/>
      <c r="R4" s="362" t="s">
        <v>337</v>
      </c>
      <c r="S4" s="363"/>
      <c r="T4" s="377" t="s">
        <v>208</v>
      </c>
      <c r="U4" s="377"/>
      <c r="V4" s="377"/>
    </row>
    <row r="5" spans="1:22" ht="28.5" x14ac:dyDescent="0.25">
      <c r="A5" s="218">
        <v>3</v>
      </c>
      <c r="B5" s="234"/>
      <c r="C5" s="221" t="s">
        <v>251</v>
      </c>
      <c r="D5" s="280" t="s">
        <v>412</v>
      </c>
      <c r="E5" s="64" t="s">
        <v>407</v>
      </c>
      <c r="F5" s="280" t="s">
        <v>412</v>
      </c>
      <c r="G5" s="64" t="s">
        <v>407</v>
      </c>
      <c r="H5" s="280" t="s">
        <v>412</v>
      </c>
      <c r="I5" s="64" t="s">
        <v>407</v>
      </c>
      <c r="J5" s="280" t="s">
        <v>412</v>
      </c>
      <c r="K5" s="64" t="s">
        <v>407</v>
      </c>
      <c r="L5" s="280" t="s">
        <v>412</v>
      </c>
      <c r="M5" s="64" t="s">
        <v>407</v>
      </c>
      <c r="N5" s="280" t="s">
        <v>412</v>
      </c>
      <c r="O5" s="64" t="s">
        <v>407</v>
      </c>
      <c r="P5" s="280" t="s">
        <v>412</v>
      </c>
      <c r="Q5" s="64" t="s">
        <v>407</v>
      </c>
      <c r="R5" s="280" t="s">
        <v>412</v>
      </c>
      <c r="S5" s="64" t="s">
        <v>407</v>
      </c>
      <c r="T5" s="280" t="s">
        <v>412</v>
      </c>
      <c r="U5" s="64" t="s">
        <v>407</v>
      </c>
      <c r="V5" s="64" t="s">
        <v>407</v>
      </c>
    </row>
    <row r="6" spans="1:22" x14ac:dyDescent="0.25">
      <c r="A6" s="218">
        <v>4</v>
      </c>
      <c r="B6" s="257" t="s">
        <v>210</v>
      </c>
      <c r="C6" s="56" t="s">
        <v>351</v>
      </c>
      <c r="D6" s="235">
        <v>1330.1</v>
      </c>
      <c r="E6" s="235">
        <v>1330.1</v>
      </c>
      <c r="F6" s="235"/>
      <c r="G6" s="235"/>
      <c r="H6" s="224">
        <v>2004</v>
      </c>
      <c r="I6" s="292">
        <f>2004+248.2+1186.8</f>
        <v>3439</v>
      </c>
      <c r="J6" s="224"/>
      <c r="K6" s="224"/>
      <c r="L6" s="224"/>
      <c r="M6" s="224"/>
      <c r="N6" s="224"/>
      <c r="O6" s="224"/>
      <c r="P6" s="225">
        <v>12763.9</v>
      </c>
      <c r="Q6" s="225">
        <f>12763.9+794.113+185.804</f>
        <v>13743.816999999999</v>
      </c>
      <c r="R6" s="225"/>
      <c r="S6" s="225">
        <v>8.4</v>
      </c>
      <c r="T6" s="226">
        <f t="shared" ref="T6:T13" si="0">D6+F6+H6+J6+L6+N6+P6</f>
        <v>16098</v>
      </c>
      <c r="U6" s="236">
        <v>350</v>
      </c>
      <c r="V6" s="278">
        <f>E6+G6+I6+K6+M6+O6+Q6+S6</f>
        <v>18521.317000000003</v>
      </c>
    </row>
    <row r="7" spans="1:22" x14ac:dyDescent="0.25">
      <c r="A7" s="274">
        <v>5</v>
      </c>
      <c r="B7" s="257" t="s">
        <v>214</v>
      </c>
      <c r="C7" s="56" t="s">
        <v>352</v>
      </c>
      <c r="D7" s="235"/>
      <c r="E7" s="235"/>
      <c r="F7" s="235"/>
      <c r="G7" s="235"/>
      <c r="H7" s="224"/>
      <c r="I7" s="224"/>
      <c r="J7" s="224"/>
      <c r="K7" s="224"/>
      <c r="L7" s="224"/>
      <c r="M7" s="224"/>
      <c r="N7" s="224"/>
      <c r="O7" s="224"/>
      <c r="P7" s="225">
        <v>75</v>
      </c>
      <c r="Q7" s="225">
        <v>75</v>
      </c>
      <c r="R7" s="225"/>
      <c r="S7" s="225"/>
      <c r="T7" s="226">
        <f t="shared" si="0"/>
        <v>75</v>
      </c>
      <c r="U7" s="236"/>
      <c r="V7" s="278">
        <f t="shared" ref="V7:V13" si="1">E7+G7+I7+K7+M7+O7+Q7</f>
        <v>75</v>
      </c>
    </row>
    <row r="8" spans="1:22" x14ac:dyDescent="0.25">
      <c r="A8" s="218">
        <v>6</v>
      </c>
      <c r="B8" s="257" t="s">
        <v>214</v>
      </c>
      <c r="C8" s="56" t="s">
        <v>353</v>
      </c>
      <c r="D8" s="235">
        <v>70</v>
      </c>
      <c r="E8" s="235">
        <v>70</v>
      </c>
      <c r="F8" s="235"/>
      <c r="G8" s="235"/>
      <c r="H8" s="224"/>
      <c r="I8" s="224"/>
      <c r="J8" s="224"/>
      <c r="K8" s="224"/>
      <c r="L8" s="224"/>
      <c r="M8" s="224"/>
      <c r="N8" s="224"/>
      <c r="O8" s="224"/>
      <c r="P8" s="225">
        <v>958</v>
      </c>
      <c r="Q8" s="225">
        <v>958</v>
      </c>
      <c r="R8" s="225"/>
      <c r="S8" s="225"/>
      <c r="T8" s="226">
        <f t="shared" si="0"/>
        <v>1028</v>
      </c>
      <c r="U8" s="236">
        <v>13</v>
      </c>
      <c r="V8" s="278">
        <f t="shared" si="1"/>
        <v>1028</v>
      </c>
    </row>
    <row r="9" spans="1:22" x14ac:dyDescent="0.25">
      <c r="A9" s="218">
        <v>7</v>
      </c>
      <c r="B9" s="257" t="s">
        <v>214</v>
      </c>
      <c r="C9" s="56" t="s">
        <v>354</v>
      </c>
      <c r="D9" s="235">
        <v>335</v>
      </c>
      <c r="E9" s="235">
        <v>335</v>
      </c>
      <c r="F9" s="235"/>
      <c r="G9" s="235"/>
      <c r="H9" s="224"/>
      <c r="I9" s="224"/>
      <c r="J9" s="224"/>
      <c r="K9" s="224"/>
      <c r="L9" s="224"/>
      <c r="M9" s="224"/>
      <c r="N9" s="224"/>
      <c r="O9" s="224"/>
      <c r="P9" s="225">
        <v>2355</v>
      </c>
      <c r="Q9" s="225">
        <v>2355</v>
      </c>
      <c r="R9" s="225"/>
      <c r="S9" s="225"/>
      <c r="T9" s="226">
        <f t="shared" si="0"/>
        <v>2690</v>
      </c>
      <c r="U9" s="236"/>
      <c r="V9" s="278">
        <f t="shared" si="1"/>
        <v>2690</v>
      </c>
    </row>
    <row r="10" spans="1:22" x14ac:dyDescent="0.25">
      <c r="A10" s="274">
        <v>8</v>
      </c>
      <c r="B10" s="257" t="s">
        <v>214</v>
      </c>
      <c r="C10" s="56" t="s">
        <v>454</v>
      </c>
      <c r="D10" s="235"/>
      <c r="E10" s="235"/>
      <c r="F10" s="235"/>
      <c r="G10" s="235"/>
      <c r="H10" s="224"/>
      <c r="I10" s="224"/>
      <c r="J10" s="224"/>
      <c r="K10" s="224"/>
      <c r="L10" s="224"/>
      <c r="M10" s="224"/>
      <c r="N10" s="224"/>
      <c r="O10" s="224"/>
      <c r="P10" s="225">
        <v>214</v>
      </c>
      <c r="Q10" s="225">
        <v>214</v>
      </c>
      <c r="R10" s="225"/>
      <c r="S10" s="225"/>
      <c r="T10" s="226">
        <f t="shared" si="0"/>
        <v>214</v>
      </c>
      <c r="U10" s="236"/>
      <c r="V10" s="278">
        <f t="shared" si="1"/>
        <v>214</v>
      </c>
    </row>
    <row r="11" spans="1:22" x14ac:dyDescent="0.25">
      <c r="A11" s="218">
        <v>9</v>
      </c>
      <c r="B11" s="257" t="s">
        <v>214</v>
      </c>
      <c r="C11" s="56" t="s">
        <v>455</v>
      </c>
      <c r="D11" s="235"/>
      <c r="E11" s="235"/>
      <c r="F11" s="235"/>
      <c r="G11" s="235"/>
      <c r="H11" s="224">
        <v>15158</v>
      </c>
      <c r="I11" s="224">
        <v>15158</v>
      </c>
      <c r="J11" s="224"/>
      <c r="K11" s="224"/>
      <c r="L11" s="224"/>
      <c r="M11" s="224"/>
      <c r="N11" s="224"/>
      <c r="O11" s="224"/>
      <c r="P11" s="225"/>
      <c r="Q11" s="225"/>
      <c r="R11" s="225"/>
      <c r="S11" s="225"/>
      <c r="T11" s="226">
        <f t="shared" si="0"/>
        <v>15158</v>
      </c>
      <c r="U11" s="236"/>
      <c r="V11" s="278">
        <f t="shared" si="1"/>
        <v>15158</v>
      </c>
    </row>
    <row r="12" spans="1:22" x14ac:dyDescent="0.25">
      <c r="A12" s="218"/>
      <c r="B12" s="257" t="s">
        <v>214</v>
      </c>
      <c r="C12" s="56" t="s">
        <v>516</v>
      </c>
      <c r="D12" s="235"/>
      <c r="E12" s="235"/>
      <c r="F12" s="235"/>
      <c r="G12" s="235"/>
      <c r="H12" s="224"/>
      <c r="I12" s="292">
        <v>2455.8240000000001</v>
      </c>
      <c r="J12" s="224"/>
      <c r="K12" s="224"/>
      <c r="L12" s="224"/>
      <c r="M12" s="224"/>
      <c r="N12" s="224"/>
      <c r="O12" s="224"/>
      <c r="P12" s="225"/>
      <c r="Q12" s="225"/>
      <c r="R12" s="225"/>
      <c r="S12" s="225"/>
      <c r="T12" s="226"/>
      <c r="U12" s="236"/>
      <c r="V12" s="278">
        <f t="shared" si="1"/>
        <v>2455.8240000000001</v>
      </c>
    </row>
    <row r="13" spans="1:22" x14ac:dyDescent="0.25">
      <c r="A13" s="218">
        <v>10</v>
      </c>
      <c r="B13" s="257" t="s">
        <v>214</v>
      </c>
      <c r="C13" s="56" t="s">
        <v>355</v>
      </c>
      <c r="D13" s="235">
        <v>3500</v>
      </c>
      <c r="E13" s="235">
        <v>3500</v>
      </c>
      <c r="F13" s="235"/>
      <c r="G13" s="235"/>
      <c r="H13" s="224"/>
      <c r="I13" s="224"/>
      <c r="J13" s="224"/>
      <c r="K13" s="224"/>
      <c r="L13" s="224">
        <v>210</v>
      </c>
      <c r="M13" s="224">
        <v>210</v>
      </c>
      <c r="N13" s="224"/>
      <c r="O13" s="224"/>
      <c r="P13" s="225">
        <v>7282</v>
      </c>
      <c r="Q13" s="225">
        <v>7282</v>
      </c>
      <c r="R13" s="225"/>
      <c r="S13" s="225"/>
      <c r="T13" s="226">
        <f t="shared" si="0"/>
        <v>10992</v>
      </c>
      <c r="U13" s="236"/>
      <c r="V13" s="278">
        <f t="shared" si="1"/>
        <v>10992</v>
      </c>
    </row>
    <row r="14" spans="1:22" ht="15.75" x14ac:dyDescent="0.25">
      <c r="A14" s="274">
        <v>11</v>
      </c>
      <c r="B14" s="218"/>
      <c r="C14" s="221" t="s">
        <v>253</v>
      </c>
      <c r="D14" s="226">
        <f t="shared" ref="D14:T14" si="2">SUM(D6:D13)</f>
        <v>5235.1000000000004</v>
      </c>
      <c r="E14" s="226">
        <f t="shared" ref="E14" si="3">SUM(E6:E13)</f>
        <v>5235.1000000000004</v>
      </c>
      <c r="F14" s="226">
        <f t="shared" si="2"/>
        <v>0</v>
      </c>
      <c r="G14" s="226">
        <f t="shared" ref="G14" si="4">SUM(G6:G13)</f>
        <v>0</v>
      </c>
      <c r="H14" s="226">
        <f t="shared" si="2"/>
        <v>17162</v>
      </c>
      <c r="I14" s="226">
        <f t="shared" ref="I14" si="5">SUM(I6:I13)</f>
        <v>21052.824000000001</v>
      </c>
      <c r="J14" s="226">
        <f t="shared" si="2"/>
        <v>0</v>
      </c>
      <c r="K14" s="226">
        <f t="shared" ref="K14" si="6">SUM(K6:K13)</f>
        <v>0</v>
      </c>
      <c r="L14" s="226">
        <f t="shared" si="2"/>
        <v>210</v>
      </c>
      <c r="M14" s="226">
        <f t="shared" ref="M14" si="7">SUM(M6:M13)</f>
        <v>210</v>
      </c>
      <c r="N14" s="226">
        <f t="shared" si="2"/>
        <v>0</v>
      </c>
      <c r="O14" s="226">
        <f t="shared" ref="O14" si="8">SUM(O6:O13)</f>
        <v>0</v>
      </c>
      <c r="P14" s="226">
        <f t="shared" si="2"/>
        <v>23647.9</v>
      </c>
      <c r="Q14" s="226">
        <f>SUM(Q6:Q13)</f>
        <v>24627.816999999999</v>
      </c>
      <c r="R14" s="226">
        <f t="shared" ref="R14" si="9">SUM(R6:R13)</f>
        <v>0</v>
      </c>
      <c r="S14" s="226">
        <f>SUM(S6:S13)</f>
        <v>8.4</v>
      </c>
      <c r="T14" s="226">
        <f t="shared" si="2"/>
        <v>46255</v>
      </c>
      <c r="U14" s="226">
        <f t="shared" ref="U14" si="10">SUM(U6:U13)</f>
        <v>363</v>
      </c>
      <c r="V14" s="226">
        <f>SUM(V6:V13)</f>
        <v>51134.141000000003</v>
      </c>
    </row>
    <row r="15" spans="1:22" x14ac:dyDescent="0.25">
      <c r="A15" s="218">
        <v>12</v>
      </c>
      <c r="B15" s="238"/>
      <c r="C15" s="54" t="s">
        <v>239</v>
      </c>
      <c r="D15" s="228">
        <f t="shared" ref="D15:T15" si="11">SUMIF($B6:$B13,"kötelező",D6:D13)</f>
        <v>1330.1</v>
      </c>
      <c r="E15" s="228">
        <f t="shared" ref="E15" si="12">SUMIF($B6:$B13,"kötelező",E6:E13)</f>
        <v>1330.1</v>
      </c>
      <c r="F15" s="228">
        <f t="shared" si="11"/>
        <v>0</v>
      </c>
      <c r="G15" s="228">
        <f t="shared" ref="G15" si="13">SUMIF($B6:$B13,"kötelező",G6:G13)</f>
        <v>0</v>
      </c>
      <c r="H15" s="228">
        <f t="shared" si="11"/>
        <v>2004</v>
      </c>
      <c r="I15" s="228">
        <f t="shared" ref="I15" si="14">SUMIF($B6:$B13,"kötelező",I6:I13)</f>
        <v>3439</v>
      </c>
      <c r="J15" s="228">
        <f t="shared" si="11"/>
        <v>0</v>
      </c>
      <c r="K15" s="228">
        <f t="shared" ref="K15" si="15">SUMIF($B6:$B13,"kötelező",K6:K13)</f>
        <v>0</v>
      </c>
      <c r="L15" s="228">
        <f t="shared" si="11"/>
        <v>0</v>
      </c>
      <c r="M15" s="228">
        <f t="shared" ref="M15" si="16">SUMIF($B6:$B13,"kötelező",M6:M13)</f>
        <v>0</v>
      </c>
      <c r="N15" s="228">
        <f t="shared" si="11"/>
        <v>0</v>
      </c>
      <c r="O15" s="228">
        <f t="shared" ref="O15" si="17">SUMIF($B6:$B13,"kötelező",O6:O13)</f>
        <v>0</v>
      </c>
      <c r="P15" s="228">
        <f t="shared" si="11"/>
        <v>12763.9</v>
      </c>
      <c r="Q15" s="228">
        <f t="shared" ref="Q15:S15" si="18">SUMIF($B6:$B13,"kötelező",Q6:Q13)</f>
        <v>13743.816999999999</v>
      </c>
      <c r="R15" s="228">
        <f t="shared" si="18"/>
        <v>0</v>
      </c>
      <c r="S15" s="228">
        <f t="shared" si="18"/>
        <v>8.4</v>
      </c>
      <c r="T15" s="228">
        <f t="shared" si="11"/>
        <v>16098</v>
      </c>
      <c r="U15" s="228">
        <f t="shared" ref="U15:V15" si="19">SUMIF($B6:$B13,"kötelező",U6:U13)</f>
        <v>350</v>
      </c>
      <c r="V15" s="228">
        <f t="shared" si="19"/>
        <v>18521.317000000003</v>
      </c>
    </row>
    <row r="16" spans="1:22" x14ac:dyDescent="0.25">
      <c r="A16" s="218">
        <v>13</v>
      </c>
      <c r="B16" s="238"/>
      <c r="C16" s="54" t="s">
        <v>240</v>
      </c>
      <c r="D16" s="228">
        <f t="shared" ref="D16:T16" si="20">SUMIF($B6:$B13,"nem kötelező",D6:D13)</f>
        <v>3905</v>
      </c>
      <c r="E16" s="228">
        <f t="shared" ref="E16" si="21">SUMIF($B6:$B13,"nem kötelező",E6:E13)</f>
        <v>3905</v>
      </c>
      <c r="F16" s="228">
        <f t="shared" si="20"/>
        <v>0</v>
      </c>
      <c r="G16" s="228">
        <f t="shared" ref="G16" si="22">SUMIF($B6:$B13,"nem kötelező",G6:G13)</f>
        <v>0</v>
      </c>
      <c r="H16" s="228">
        <f t="shared" si="20"/>
        <v>15158</v>
      </c>
      <c r="I16" s="228">
        <f t="shared" ref="I16" si="23">SUMIF($B6:$B13,"nem kötelező",I6:I13)</f>
        <v>17613.824000000001</v>
      </c>
      <c r="J16" s="228">
        <f t="shared" si="20"/>
        <v>0</v>
      </c>
      <c r="K16" s="228">
        <f t="shared" ref="K16" si="24">SUMIF($B6:$B13,"nem kötelező",K6:K13)</f>
        <v>0</v>
      </c>
      <c r="L16" s="228">
        <f t="shared" si="20"/>
        <v>210</v>
      </c>
      <c r="M16" s="228">
        <f t="shared" ref="M16" si="25">SUMIF($B6:$B13,"nem kötelező",M6:M13)</f>
        <v>210</v>
      </c>
      <c r="N16" s="228">
        <f t="shared" si="20"/>
        <v>0</v>
      </c>
      <c r="O16" s="228">
        <f t="shared" ref="O16" si="26">SUMIF($B6:$B13,"nem kötelező",O6:O13)</f>
        <v>0</v>
      </c>
      <c r="P16" s="228">
        <f t="shared" si="20"/>
        <v>10884</v>
      </c>
      <c r="Q16" s="228">
        <f t="shared" ref="Q16:S16" si="27">SUMIF($B6:$B13,"nem kötelező",Q6:Q13)</f>
        <v>10884</v>
      </c>
      <c r="R16" s="228">
        <f t="shared" si="27"/>
        <v>0</v>
      </c>
      <c r="S16" s="228">
        <f t="shared" si="27"/>
        <v>0</v>
      </c>
      <c r="T16" s="228">
        <f t="shared" si="20"/>
        <v>30157</v>
      </c>
      <c r="U16" s="228">
        <f t="shared" ref="U16" si="28">SUMIF($B6:$B13,"nem kötelező",U6:U13)</f>
        <v>13</v>
      </c>
      <c r="V16" s="228">
        <f>SUMIF($B6:$B13,"nem kötelező",V6:V13)</f>
        <v>32612.824000000001</v>
      </c>
    </row>
    <row r="17" spans="2:20" x14ac:dyDescent="0.25"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</row>
  </sheetData>
  <mergeCells count="10">
    <mergeCell ref="B3:V3"/>
    <mergeCell ref="D4:E4"/>
    <mergeCell ref="F4:G4"/>
    <mergeCell ref="H4:I4"/>
    <mergeCell ref="J4:K4"/>
    <mergeCell ref="L4:M4"/>
    <mergeCell ref="N4:O4"/>
    <mergeCell ref="P4:Q4"/>
    <mergeCell ref="T4:V4"/>
    <mergeCell ref="R4:S4"/>
  </mergeCells>
  <printOptions horizontalCentered="1"/>
  <pageMargins left="0.70866141732283472" right="0.15748031496062992" top="0.74803149606299213" bottom="0.74803149606299213" header="0.31496062992125984" footer="0.31496062992125984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I98"/>
  <sheetViews>
    <sheetView tabSelected="1" view="pageBreakPreview" zoomScaleNormal="100" zoomScaleSheetLayoutView="100" workbookViewId="0">
      <pane xSplit="3" ySplit="4" topLeftCell="D27" activePane="bottomRight" state="frozen"/>
      <selection pane="topRight" activeCell="D1" sqref="D1"/>
      <selection pane="bottomLeft" activeCell="A6" sqref="A6"/>
      <selection pane="bottomRight" activeCell="I51" activeCellId="2" sqref="E53:E61 G53:G61 I51:I61"/>
    </sheetView>
  </sheetViews>
  <sheetFormatPr defaultRowHeight="15" x14ac:dyDescent="0.25"/>
  <cols>
    <col min="1" max="1" width="6" style="59" customWidth="1"/>
    <col min="2" max="2" width="15" style="59" customWidth="1"/>
    <col min="3" max="3" width="63.5703125" style="59" customWidth="1"/>
    <col min="4" max="4" width="12.42578125" style="59" bestFit="1" customWidth="1"/>
    <col min="5" max="5" width="12.42578125" style="59" customWidth="1"/>
    <col min="6" max="7" width="13.28515625" style="59" customWidth="1"/>
    <col min="8" max="8" width="13.85546875" style="59" customWidth="1"/>
    <col min="9" max="9" width="13" style="59" customWidth="1"/>
    <col min="10" max="13" width="13.5703125" style="59" customWidth="1"/>
    <col min="14" max="15" width="12.28515625" style="59" customWidth="1"/>
    <col min="16" max="19" width="13.7109375" style="59" customWidth="1"/>
    <col min="20" max="21" width="14.85546875" style="59" customWidth="1"/>
    <col min="22" max="25" width="12.28515625" style="59" customWidth="1"/>
    <col min="26" max="27" width="13" style="59" customWidth="1"/>
    <col min="28" max="28" width="15.28515625" style="59" bestFit="1" customWidth="1"/>
    <col min="29" max="29" width="14.28515625" style="59" bestFit="1" customWidth="1"/>
    <col min="30" max="30" width="15.28515625" style="59" bestFit="1" customWidth="1"/>
    <col min="31" max="31" width="14.85546875" style="59" customWidth="1"/>
    <col min="32" max="32" width="16.42578125" style="59" customWidth="1"/>
    <col min="33" max="34" width="12.28515625" style="59" hidden="1" customWidth="1"/>
    <col min="35" max="35" width="10.140625" style="59" bestFit="1" customWidth="1"/>
    <col min="36" max="16384" width="9.140625" style="59"/>
  </cols>
  <sheetData>
    <row r="1" spans="1:34" x14ac:dyDescent="0.25">
      <c r="X1" s="380" t="s">
        <v>419</v>
      </c>
      <c r="Y1" s="380"/>
      <c r="Z1" s="380"/>
      <c r="AA1" s="380"/>
      <c r="AB1" s="380"/>
      <c r="AC1" s="380"/>
      <c r="AD1" s="380"/>
      <c r="AE1" s="281"/>
      <c r="AF1" s="282"/>
    </row>
    <row r="2" spans="1:34" ht="48" customHeight="1" x14ac:dyDescent="0.25">
      <c r="A2" s="55">
        <v>1</v>
      </c>
      <c r="B2" s="55"/>
      <c r="C2" s="378" t="s">
        <v>420</v>
      </c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61"/>
      <c r="AH2" s="61"/>
    </row>
    <row r="3" spans="1:34" ht="72.75" customHeight="1" x14ac:dyDescent="0.25">
      <c r="A3" s="55">
        <v>2</v>
      </c>
      <c r="B3" s="62" t="s">
        <v>202</v>
      </c>
      <c r="C3" s="63" t="s">
        <v>203</v>
      </c>
      <c r="D3" s="381" t="s">
        <v>90</v>
      </c>
      <c r="E3" s="382"/>
      <c r="F3" s="381" t="s">
        <v>273</v>
      </c>
      <c r="G3" s="382"/>
      <c r="H3" s="381" t="s">
        <v>92</v>
      </c>
      <c r="I3" s="382"/>
      <c r="J3" s="381" t="s">
        <v>274</v>
      </c>
      <c r="K3" s="382"/>
      <c r="L3" s="381" t="s">
        <v>275</v>
      </c>
      <c r="M3" s="382"/>
      <c r="N3" s="381" t="s">
        <v>276</v>
      </c>
      <c r="O3" s="382"/>
      <c r="P3" s="381" t="s">
        <v>359</v>
      </c>
      <c r="Q3" s="382"/>
      <c r="R3" s="381" t="s">
        <v>360</v>
      </c>
      <c r="S3" s="382"/>
      <c r="T3" s="381" t="s">
        <v>108</v>
      </c>
      <c r="U3" s="382"/>
      <c r="V3" s="381" t="s">
        <v>111</v>
      </c>
      <c r="W3" s="382"/>
      <c r="X3" s="381" t="s">
        <v>277</v>
      </c>
      <c r="Y3" s="382"/>
      <c r="Z3" s="381" t="s">
        <v>278</v>
      </c>
      <c r="AA3" s="382"/>
      <c r="AB3" s="381" t="s">
        <v>243</v>
      </c>
      <c r="AC3" s="382"/>
      <c r="AD3" s="381" t="s">
        <v>279</v>
      </c>
      <c r="AE3" s="382"/>
      <c r="AF3" s="64" t="s">
        <v>280</v>
      </c>
      <c r="AG3" s="65"/>
      <c r="AH3" s="65"/>
    </row>
    <row r="4" spans="1:34" ht="30" x14ac:dyDescent="0.25">
      <c r="A4" s="55">
        <v>3</v>
      </c>
      <c r="B4" s="62"/>
      <c r="C4" s="63" t="s">
        <v>281</v>
      </c>
      <c r="D4" s="66" t="s">
        <v>421</v>
      </c>
      <c r="E4" s="66" t="s">
        <v>407</v>
      </c>
      <c r="F4" s="66" t="s">
        <v>421</v>
      </c>
      <c r="G4" s="66" t="s">
        <v>407</v>
      </c>
      <c r="H4" s="66" t="s">
        <v>421</v>
      </c>
      <c r="I4" s="66" t="s">
        <v>407</v>
      </c>
      <c r="J4" s="66" t="s">
        <v>421</v>
      </c>
      <c r="K4" s="66" t="s">
        <v>407</v>
      </c>
      <c r="L4" s="66" t="s">
        <v>421</v>
      </c>
      <c r="M4" s="66" t="s">
        <v>407</v>
      </c>
      <c r="N4" s="66" t="s">
        <v>421</v>
      </c>
      <c r="O4" s="66" t="s">
        <v>407</v>
      </c>
      <c r="P4" s="66" t="s">
        <v>421</v>
      </c>
      <c r="Q4" s="66" t="s">
        <v>407</v>
      </c>
      <c r="R4" s="66" t="s">
        <v>421</v>
      </c>
      <c r="S4" s="66" t="s">
        <v>407</v>
      </c>
      <c r="T4" s="66" t="s">
        <v>422</v>
      </c>
      <c r="U4" s="66" t="s">
        <v>407</v>
      </c>
      <c r="V4" s="66" t="s">
        <v>421</v>
      </c>
      <c r="W4" s="66" t="s">
        <v>407</v>
      </c>
      <c r="X4" s="66" t="s">
        <v>421</v>
      </c>
      <c r="Y4" s="66" t="s">
        <v>407</v>
      </c>
      <c r="Z4" s="66" t="s">
        <v>421</v>
      </c>
      <c r="AA4" s="66" t="s">
        <v>407</v>
      </c>
      <c r="AB4" s="66" t="s">
        <v>421</v>
      </c>
      <c r="AC4" s="66" t="s">
        <v>407</v>
      </c>
      <c r="AD4" s="66" t="s">
        <v>421</v>
      </c>
      <c r="AE4" s="66" t="s">
        <v>407</v>
      </c>
      <c r="AF4" s="66" t="s">
        <v>421</v>
      </c>
      <c r="AG4" s="66" t="s">
        <v>423</v>
      </c>
      <c r="AH4" s="66" t="s">
        <v>209</v>
      </c>
    </row>
    <row r="5" spans="1:34" x14ac:dyDescent="0.25">
      <c r="A5" s="55">
        <v>4</v>
      </c>
      <c r="B5" s="55" t="s">
        <v>214</v>
      </c>
      <c r="C5" s="56" t="s">
        <v>282</v>
      </c>
      <c r="D5" s="121">
        <v>423</v>
      </c>
      <c r="E5" s="121">
        <v>423</v>
      </c>
      <c r="F5" s="121"/>
      <c r="G5" s="121"/>
      <c r="H5" s="121">
        <v>577</v>
      </c>
      <c r="I5" s="121">
        <f>577-50</f>
        <v>527</v>
      </c>
      <c r="J5" s="121"/>
      <c r="K5" s="121"/>
      <c r="L5" s="121"/>
      <c r="M5" s="121">
        <f>190+50</f>
        <v>240</v>
      </c>
      <c r="N5" s="121"/>
      <c r="O5" s="121"/>
      <c r="P5" s="121">
        <f>'[1]4.1.Önk kiad'!$J$6</f>
        <v>0</v>
      </c>
      <c r="Q5" s="121"/>
      <c r="R5" s="121">
        <f>'[1]4.1.Önk kiad'!$K$6</f>
        <v>0</v>
      </c>
      <c r="S5" s="121"/>
      <c r="T5" s="121"/>
      <c r="U5" s="121"/>
      <c r="V5" s="121"/>
      <c r="W5" s="121"/>
      <c r="X5" s="121"/>
      <c r="Y5" s="121"/>
      <c r="Z5" s="121"/>
      <c r="AA5" s="121"/>
      <c r="AB5" s="122">
        <f t="shared" ref="AB5:AC8" si="0">Z5+X5+V5+T5+P5+L5+J5+H5+F5+D5+N5</f>
        <v>1000</v>
      </c>
      <c r="AC5" s="122">
        <f t="shared" si="0"/>
        <v>1190</v>
      </c>
      <c r="AD5" s="123"/>
      <c r="AE5" s="123"/>
      <c r="AF5" s="123"/>
      <c r="AG5" s="58"/>
      <c r="AH5" s="58">
        <v>4836</v>
      </c>
    </row>
    <row r="6" spans="1:34" x14ac:dyDescent="0.25">
      <c r="A6" s="55">
        <v>5</v>
      </c>
      <c r="B6" s="55" t="s">
        <v>210</v>
      </c>
      <c r="C6" s="56" t="s">
        <v>330</v>
      </c>
      <c r="D6" s="121">
        <v>14074</v>
      </c>
      <c r="E6" s="121">
        <v>14074</v>
      </c>
      <c r="F6" s="121">
        <v>3045</v>
      </c>
      <c r="G6" s="121">
        <v>3045</v>
      </c>
      <c r="H6" s="121">
        <v>1365</v>
      </c>
      <c r="I6" s="121">
        <v>1365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>
        <v>50</v>
      </c>
      <c r="U6" s="121">
        <v>50</v>
      </c>
      <c r="V6" s="121"/>
      <c r="W6" s="121"/>
      <c r="X6" s="121"/>
      <c r="Y6" s="121"/>
      <c r="Z6" s="121"/>
      <c r="AA6" s="121"/>
      <c r="AB6" s="122">
        <f t="shared" si="0"/>
        <v>18534</v>
      </c>
      <c r="AC6" s="122">
        <f t="shared" si="0"/>
        <v>18534</v>
      </c>
      <c r="AD6" s="123"/>
      <c r="AE6" s="123"/>
      <c r="AF6" s="123"/>
      <c r="AG6" s="58"/>
      <c r="AH6" s="58"/>
    </row>
    <row r="7" spans="1:34" x14ac:dyDescent="0.25">
      <c r="A7" s="55">
        <v>6</v>
      </c>
      <c r="B7" s="55" t="s">
        <v>210</v>
      </c>
      <c r="C7" s="56" t="s">
        <v>437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>
        <v>19925</v>
      </c>
      <c r="W7" s="121">
        <f>19925+395</f>
        <v>20320</v>
      </c>
      <c r="X7" s="121"/>
      <c r="Y7" s="121"/>
      <c r="Z7" s="121"/>
      <c r="AA7" s="121"/>
      <c r="AB7" s="122">
        <f t="shared" si="0"/>
        <v>19925</v>
      </c>
      <c r="AC7" s="122">
        <f t="shared" si="0"/>
        <v>20320</v>
      </c>
      <c r="AD7" s="123"/>
      <c r="AE7" s="123"/>
      <c r="AF7" s="123"/>
      <c r="AG7" s="58"/>
      <c r="AH7" s="58"/>
    </row>
    <row r="8" spans="1:34" x14ac:dyDescent="0.25">
      <c r="A8" s="55">
        <v>7</v>
      </c>
      <c r="B8" s="55" t="s">
        <v>210</v>
      </c>
      <c r="C8" s="56" t="s">
        <v>438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>
        <v>10526</v>
      </c>
      <c r="U8" s="121">
        <f>10526+250</f>
        <v>10776</v>
      </c>
      <c r="V8" s="121"/>
      <c r="W8" s="121"/>
      <c r="X8" s="121"/>
      <c r="Y8" s="121"/>
      <c r="Z8" s="121"/>
      <c r="AA8" s="121"/>
      <c r="AB8" s="122">
        <f t="shared" si="0"/>
        <v>10526</v>
      </c>
      <c r="AC8" s="122">
        <f t="shared" si="0"/>
        <v>10776</v>
      </c>
      <c r="AD8" s="123"/>
      <c r="AE8" s="123"/>
      <c r="AF8" s="123"/>
      <c r="AG8" s="58"/>
      <c r="AH8" s="58"/>
    </row>
    <row r="9" spans="1:34" x14ac:dyDescent="0.25">
      <c r="A9" s="55">
        <v>8</v>
      </c>
      <c r="B9" s="55" t="s">
        <v>210</v>
      </c>
      <c r="C9" s="56" t="s">
        <v>283</v>
      </c>
      <c r="D9" s="124"/>
      <c r="E9" s="124"/>
      <c r="F9" s="124"/>
      <c r="G9" s="124"/>
      <c r="H9" s="125">
        <v>30</v>
      </c>
      <c r="I9" s="125">
        <v>30</v>
      </c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2">
        <f t="shared" ref="AB9:AC64" si="1">Z9+X9+V9+T9+P9+L9+J9+H9+F9+D9+N9</f>
        <v>30</v>
      </c>
      <c r="AC9" s="122">
        <f t="shared" si="1"/>
        <v>30</v>
      </c>
      <c r="AD9" s="123"/>
      <c r="AE9" s="123"/>
      <c r="AF9" s="123"/>
      <c r="AG9" s="58"/>
      <c r="AH9" s="58">
        <v>176</v>
      </c>
    </row>
    <row r="10" spans="1:34" x14ac:dyDescent="0.25">
      <c r="A10" s="55">
        <v>9</v>
      </c>
      <c r="B10" s="55" t="s">
        <v>210</v>
      </c>
      <c r="C10" s="56" t="s">
        <v>284</v>
      </c>
      <c r="D10" s="124"/>
      <c r="E10" s="124"/>
      <c r="F10" s="124"/>
      <c r="G10" s="124"/>
      <c r="H10" s="125">
        <v>526</v>
      </c>
      <c r="I10" s="125">
        <v>526</v>
      </c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6">
        <v>500</v>
      </c>
      <c r="W10" s="126">
        <f>V10+937.536+186</f>
        <v>1623.5360000000001</v>
      </c>
      <c r="X10" s="124"/>
      <c r="Y10" s="124"/>
      <c r="Z10" s="124"/>
      <c r="AA10" s="124"/>
      <c r="AB10" s="122">
        <f t="shared" si="1"/>
        <v>1026</v>
      </c>
      <c r="AC10" s="122">
        <f t="shared" si="1"/>
        <v>2149.5360000000001</v>
      </c>
      <c r="AD10" s="123"/>
      <c r="AE10" s="123"/>
      <c r="AF10" s="123"/>
      <c r="AG10" s="58"/>
      <c r="AH10" s="58">
        <v>10154</v>
      </c>
    </row>
    <row r="11" spans="1:34" x14ac:dyDescent="0.25">
      <c r="A11" s="55">
        <v>10</v>
      </c>
      <c r="B11" s="55" t="s">
        <v>210</v>
      </c>
      <c r="C11" s="56" t="s">
        <v>285</v>
      </c>
      <c r="D11" s="124"/>
      <c r="E11" s="124"/>
      <c r="F11" s="124"/>
      <c r="G11" s="124"/>
      <c r="H11" s="125">
        <v>665</v>
      </c>
      <c r="I11" s="125">
        <f>665+332</f>
        <v>997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2">
        <f t="shared" si="1"/>
        <v>665</v>
      </c>
      <c r="AC11" s="122">
        <f t="shared" si="1"/>
        <v>997</v>
      </c>
      <c r="AD11" s="123"/>
      <c r="AE11" s="123"/>
      <c r="AF11" s="123"/>
      <c r="AG11" s="58"/>
      <c r="AH11" s="58">
        <v>512</v>
      </c>
    </row>
    <row r="12" spans="1:34" x14ac:dyDescent="0.25">
      <c r="A12" s="55">
        <v>11</v>
      </c>
      <c r="B12" s="55" t="s">
        <v>210</v>
      </c>
      <c r="C12" s="56" t="s">
        <v>286</v>
      </c>
      <c r="D12" s="124"/>
      <c r="E12" s="124"/>
      <c r="F12" s="124"/>
      <c r="G12" s="124"/>
      <c r="H12" s="125">
        <v>9426</v>
      </c>
      <c r="I12" s="125">
        <f>9426+270.814</f>
        <v>9696.8140000000003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2">
        <f t="shared" si="1"/>
        <v>9426</v>
      </c>
      <c r="AC12" s="122">
        <f t="shared" si="1"/>
        <v>9696.8140000000003</v>
      </c>
      <c r="AD12" s="123"/>
      <c r="AE12" s="123"/>
      <c r="AF12" s="123"/>
      <c r="AG12" s="58"/>
      <c r="AH12" s="58">
        <v>9765</v>
      </c>
    </row>
    <row r="13" spans="1:34" x14ac:dyDescent="0.25">
      <c r="A13" s="55">
        <v>12</v>
      </c>
      <c r="B13" s="55" t="s">
        <v>214</v>
      </c>
      <c r="C13" s="56" t="s">
        <v>439</v>
      </c>
      <c r="D13" s="124"/>
      <c r="E13" s="124"/>
      <c r="F13" s="124"/>
      <c r="G13" s="124"/>
      <c r="H13" s="125"/>
      <c r="I13" s="125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>
        <f>11774-5589-2356</f>
        <v>3829</v>
      </c>
      <c r="Y13" s="125">
        <f>11774-5589-2356+514.619</f>
        <v>4343.6189999999997</v>
      </c>
      <c r="Z13" s="124"/>
      <c r="AA13" s="124"/>
      <c r="AB13" s="122">
        <f t="shared" si="1"/>
        <v>3829</v>
      </c>
      <c r="AC13" s="122">
        <f t="shared" si="1"/>
        <v>4343.6189999999997</v>
      </c>
      <c r="AD13" s="123"/>
      <c r="AE13" s="123"/>
      <c r="AF13" s="123"/>
      <c r="AG13" s="58"/>
      <c r="AH13" s="58"/>
    </row>
    <row r="14" spans="1:34" x14ac:dyDescent="0.25">
      <c r="A14" s="55">
        <v>13</v>
      </c>
      <c r="B14" s="55" t="s">
        <v>214</v>
      </c>
      <c r="C14" s="56" t="s">
        <v>311</v>
      </c>
      <c r="D14" s="124"/>
      <c r="E14" s="124"/>
      <c r="F14" s="124"/>
      <c r="G14" s="124"/>
      <c r="H14" s="125"/>
      <c r="I14" s="125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5">
        <v>1824</v>
      </c>
      <c r="Y14" s="125">
        <f>1824+3788.38</f>
        <v>5612.38</v>
      </c>
      <c r="Z14" s="124"/>
      <c r="AA14" s="124"/>
      <c r="AB14" s="122">
        <f t="shared" si="1"/>
        <v>1824</v>
      </c>
      <c r="AC14" s="122">
        <f t="shared" si="1"/>
        <v>5612.38</v>
      </c>
      <c r="AD14" s="123"/>
      <c r="AE14" s="123"/>
      <c r="AF14" s="123"/>
      <c r="AG14" s="58"/>
      <c r="AH14" s="58"/>
    </row>
    <row r="15" spans="1:34" x14ac:dyDescent="0.25">
      <c r="A15" s="55">
        <v>14</v>
      </c>
      <c r="B15" s="55" t="s">
        <v>214</v>
      </c>
      <c r="C15" s="56" t="s">
        <v>315</v>
      </c>
      <c r="D15" s="124"/>
      <c r="E15" s="124"/>
      <c r="F15" s="124"/>
      <c r="G15" s="124"/>
      <c r="H15" s="125"/>
      <c r="I15" s="125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5">
        <v>10951.066999999999</v>
      </c>
      <c r="Y15" s="286">
        <f>3503.73-100-460.35-211.1-270-20-100-200</f>
        <v>2142.2800000000002</v>
      </c>
      <c r="Z15" s="124"/>
      <c r="AA15" s="124"/>
      <c r="AB15" s="122">
        <f t="shared" si="1"/>
        <v>10951.066999999999</v>
      </c>
      <c r="AC15" s="122">
        <f t="shared" si="1"/>
        <v>2142.2800000000002</v>
      </c>
      <c r="AD15" s="123"/>
      <c r="AE15" s="123"/>
      <c r="AF15" s="123"/>
      <c r="AG15" s="58"/>
      <c r="AH15" s="58"/>
    </row>
    <row r="16" spans="1:34" x14ac:dyDescent="0.25">
      <c r="A16" s="55">
        <v>15</v>
      </c>
      <c r="B16" s="55" t="s">
        <v>214</v>
      </c>
      <c r="C16" s="56" t="s">
        <v>440</v>
      </c>
      <c r="D16" s="124"/>
      <c r="E16" s="124"/>
      <c r="F16" s="124"/>
      <c r="G16" s="124"/>
      <c r="H16" s="125"/>
      <c r="I16" s="125"/>
      <c r="J16" s="125">
        <v>2000</v>
      </c>
      <c r="K16" s="125">
        <v>2000</v>
      </c>
      <c r="L16" s="125"/>
      <c r="M16" s="125"/>
      <c r="N16" s="125"/>
      <c r="O16" s="125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2">
        <f t="shared" si="1"/>
        <v>2000</v>
      </c>
      <c r="AC16" s="122">
        <f t="shared" si="1"/>
        <v>2000</v>
      </c>
      <c r="AD16" s="123"/>
      <c r="AE16" s="123"/>
      <c r="AF16" s="123"/>
      <c r="AG16" s="58"/>
      <c r="AH16" s="58">
        <v>1425</v>
      </c>
    </row>
    <row r="17" spans="1:34" x14ac:dyDescent="0.25">
      <c r="A17" s="55">
        <v>16</v>
      </c>
      <c r="B17" s="55" t="s">
        <v>214</v>
      </c>
      <c r="C17" s="56" t="s">
        <v>341</v>
      </c>
      <c r="D17" s="124"/>
      <c r="E17" s="124"/>
      <c r="F17" s="124"/>
      <c r="G17" s="124"/>
      <c r="H17" s="125"/>
      <c r="I17" s="125"/>
      <c r="J17" s="125">
        <v>150</v>
      </c>
      <c r="K17" s="125">
        <v>150</v>
      </c>
      <c r="L17" s="125"/>
      <c r="M17" s="125"/>
      <c r="N17" s="125"/>
      <c r="O17" s="125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2">
        <f t="shared" si="1"/>
        <v>150</v>
      </c>
      <c r="AC17" s="122">
        <f t="shared" si="1"/>
        <v>150</v>
      </c>
      <c r="AD17" s="123"/>
      <c r="AE17" s="123"/>
      <c r="AF17" s="123"/>
      <c r="AG17" s="58"/>
      <c r="AH17" s="58">
        <v>96</v>
      </c>
    </row>
    <row r="18" spans="1:34" x14ac:dyDescent="0.25">
      <c r="A18" s="55">
        <v>17</v>
      </c>
      <c r="B18" s="55" t="s">
        <v>214</v>
      </c>
      <c r="C18" s="56" t="s">
        <v>339</v>
      </c>
      <c r="D18" s="124"/>
      <c r="E18" s="124"/>
      <c r="F18" s="124"/>
      <c r="G18" s="124"/>
      <c r="H18" s="125"/>
      <c r="I18" s="125"/>
      <c r="J18" s="125"/>
      <c r="K18" s="125"/>
      <c r="L18" s="125"/>
      <c r="M18" s="125"/>
      <c r="N18" s="125">
        <v>520</v>
      </c>
      <c r="O18" s="125">
        <v>520</v>
      </c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2">
        <f t="shared" si="1"/>
        <v>520</v>
      </c>
      <c r="AC18" s="122">
        <f t="shared" si="1"/>
        <v>520</v>
      </c>
      <c r="AD18" s="123"/>
      <c r="AE18" s="123"/>
      <c r="AF18" s="123"/>
      <c r="AG18" s="58"/>
      <c r="AH18" s="58">
        <v>250</v>
      </c>
    </row>
    <row r="19" spans="1:34" x14ac:dyDescent="0.25">
      <c r="A19" s="55">
        <v>18</v>
      </c>
      <c r="B19" s="55" t="s">
        <v>214</v>
      </c>
      <c r="C19" s="56" t="s">
        <v>287</v>
      </c>
      <c r="D19" s="124"/>
      <c r="E19" s="124"/>
      <c r="F19" s="124"/>
      <c r="G19" s="124"/>
      <c r="H19" s="125"/>
      <c r="I19" s="125"/>
      <c r="J19" s="125">
        <v>100</v>
      </c>
      <c r="K19" s="125">
        <v>100</v>
      </c>
      <c r="L19" s="125"/>
      <c r="M19" s="125"/>
      <c r="N19" s="125"/>
      <c r="O19" s="125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2">
        <f t="shared" si="1"/>
        <v>100</v>
      </c>
      <c r="AC19" s="122">
        <f t="shared" si="1"/>
        <v>100</v>
      </c>
      <c r="AD19" s="123"/>
      <c r="AE19" s="123"/>
      <c r="AF19" s="123"/>
      <c r="AG19" s="58"/>
      <c r="AH19" s="58">
        <v>80</v>
      </c>
    </row>
    <row r="20" spans="1:34" x14ac:dyDescent="0.25">
      <c r="A20" s="55">
        <v>19</v>
      </c>
      <c r="B20" s="55" t="s">
        <v>210</v>
      </c>
      <c r="C20" s="56" t="s">
        <v>441</v>
      </c>
      <c r="D20" s="124"/>
      <c r="E20" s="124"/>
      <c r="F20" s="124"/>
      <c r="G20" s="124"/>
      <c r="H20" s="125"/>
      <c r="I20" s="125"/>
      <c r="J20" s="125">
        <v>1000</v>
      </c>
      <c r="K20" s="125">
        <f>1000+37.855+669.925</f>
        <v>1707.78</v>
      </c>
      <c r="L20" s="125"/>
      <c r="M20" s="125"/>
      <c r="N20" s="125"/>
      <c r="O20" s="125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2">
        <f t="shared" si="1"/>
        <v>1000</v>
      </c>
      <c r="AC20" s="122">
        <f t="shared" si="1"/>
        <v>1707.78</v>
      </c>
      <c r="AD20" s="123"/>
      <c r="AE20" s="123"/>
      <c r="AF20" s="123"/>
      <c r="AG20" s="58"/>
      <c r="AH20" s="58">
        <v>146</v>
      </c>
    </row>
    <row r="21" spans="1:34" x14ac:dyDescent="0.25">
      <c r="A21" s="55">
        <v>20</v>
      </c>
      <c r="B21" s="55" t="s">
        <v>210</v>
      </c>
      <c r="C21" s="56" t="s">
        <v>442</v>
      </c>
      <c r="D21" s="124"/>
      <c r="E21" s="124"/>
      <c r="F21" s="124"/>
      <c r="G21" s="124"/>
      <c r="H21" s="125"/>
      <c r="I21" s="125"/>
      <c r="J21" s="125">
        <v>300</v>
      </c>
      <c r="K21" s="125">
        <v>300</v>
      </c>
      <c r="L21" s="125"/>
      <c r="M21" s="125"/>
      <c r="N21" s="125"/>
      <c r="O21" s="125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2">
        <f t="shared" si="1"/>
        <v>300</v>
      </c>
      <c r="AC21" s="122">
        <f t="shared" si="1"/>
        <v>300</v>
      </c>
      <c r="AD21" s="123"/>
      <c r="AE21" s="123"/>
      <c r="AF21" s="123"/>
      <c r="AG21" s="58"/>
      <c r="AH21" s="58">
        <v>132</v>
      </c>
    </row>
    <row r="22" spans="1:34" x14ac:dyDescent="0.25">
      <c r="A22" s="55">
        <v>21</v>
      </c>
      <c r="B22" s="55" t="s">
        <v>210</v>
      </c>
      <c r="C22" s="56" t="s">
        <v>443</v>
      </c>
      <c r="D22" s="124"/>
      <c r="E22" s="124"/>
      <c r="F22" s="124"/>
      <c r="G22" s="124"/>
      <c r="H22" s="125"/>
      <c r="I22" s="125"/>
      <c r="J22" s="125">
        <v>300</v>
      </c>
      <c r="K22" s="125">
        <v>300</v>
      </c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33"/>
      <c r="W22" s="133"/>
      <c r="X22" s="122"/>
      <c r="Y22" s="122"/>
      <c r="Z22" s="127"/>
      <c r="AA22" s="127"/>
      <c r="AB22" s="122">
        <f>Z22+X22+V22+T22+P22+L22+J22+H22+F22+D22+N22</f>
        <v>300</v>
      </c>
      <c r="AC22" s="122">
        <f>AA22+Y22+W22+U22+Q22+M22+K22+I22+G22+E22+O22</f>
        <v>300</v>
      </c>
      <c r="AD22" s="127"/>
      <c r="AE22" s="127"/>
      <c r="AF22" s="127"/>
      <c r="AG22" s="67"/>
      <c r="AH22" s="134">
        <v>10579</v>
      </c>
    </row>
    <row r="23" spans="1:34" x14ac:dyDescent="0.25">
      <c r="A23" s="55">
        <v>22</v>
      </c>
      <c r="B23" s="55" t="s">
        <v>210</v>
      </c>
      <c r="C23" s="56" t="s">
        <v>288</v>
      </c>
      <c r="D23" s="124"/>
      <c r="E23" s="124"/>
      <c r="F23" s="124"/>
      <c r="G23" s="124"/>
      <c r="H23" s="125"/>
      <c r="I23" s="125"/>
      <c r="J23" s="125">
        <v>400</v>
      </c>
      <c r="K23" s="125">
        <v>400</v>
      </c>
      <c r="L23" s="124"/>
      <c r="M23" s="124"/>
      <c r="N23" s="124"/>
      <c r="O23" s="124"/>
      <c r="P23" s="125"/>
      <c r="Q23" s="125"/>
      <c r="R23" s="125"/>
      <c r="S23" s="125"/>
      <c r="T23" s="124"/>
      <c r="U23" s="124"/>
      <c r="V23" s="133"/>
      <c r="W23" s="124"/>
      <c r="X23" s="122"/>
      <c r="Y23" s="124"/>
      <c r="Z23" s="127"/>
      <c r="AA23" s="124"/>
      <c r="AB23" s="122">
        <f t="shared" si="1"/>
        <v>400</v>
      </c>
      <c r="AC23" s="122">
        <f t="shared" si="1"/>
        <v>400</v>
      </c>
      <c r="AD23" s="123"/>
      <c r="AE23" s="123"/>
      <c r="AF23" s="123"/>
      <c r="AG23" s="58"/>
      <c r="AH23" s="58">
        <v>2140</v>
      </c>
    </row>
    <row r="24" spans="1:34" x14ac:dyDescent="0.25">
      <c r="A24" s="55">
        <v>23</v>
      </c>
      <c r="B24" s="55" t="s">
        <v>214</v>
      </c>
      <c r="C24" s="56" t="s">
        <v>444</v>
      </c>
      <c r="D24" s="124"/>
      <c r="E24" s="124"/>
      <c r="F24" s="124"/>
      <c r="G24" s="124"/>
      <c r="H24" s="125"/>
      <c r="I24" s="125"/>
      <c r="J24" s="125">
        <v>150</v>
      </c>
      <c r="K24" s="125">
        <v>150</v>
      </c>
      <c r="L24" s="124"/>
      <c r="M24" s="128"/>
      <c r="N24" s="124"/>
      <c r="O24" s="124"/>
      <c r="P24" s="126"/>
      <c r="Q24" s="126"/>
      <c r="R24" s="126"/>
      <c r="S24" s="126"/>
      <c r="T24" s="124"/>
      <c r="U24" s="124"/>
      <c r="V24" s="133"/>
      <c r="W24" s="124"/>
      <c r="X24" s="122"/>
      <c r="Y24" s="124"/>
      <c r="Z24" s="127"/>
      <c r="AA24" s="124"/>
      <c r="AB24" s="122">
        <f t="shared" si="1"/>
        <v>150</v>
      </c>
      <c r="AC24" s="122">
        <f t="shared" si="1"/>
        <v>150</v>
      </c>
      <c r="AD24" s="123"/>
      <c r="AE24" s="123"/>
      <c r="AF24" s="123"/>
      <c r="AG24" s="58">
        <v>8595</v>
      </c>
      <c r="AH24" s="58">
        <v>9949</v>
      </c>
    </row>
    <row r="25" spans="1:34" x14ac:dyDescent="0.25">
      <c r="A25" s="55">
        <v>24</v>
      </c>
      <c r="B25" s="55" t="s">
        <v>214</v>
      </c>
      <c r="C25" s="56" t="s">
        <v>445</v>
      </c>
      <c r="D25" s="124"/>
      <c r="E25" s="124"/>
      <c r="F25" s="124"/>
      <c r="G25" s="124"/>
      <c r="H25" s="125"/>
      <c r="I25" s="125"/>
      <c r="J25" s="125">
        <v>1000</v>
      </c>
      <c r="K25" s="286">
        <f>1000+2940.05</f>
        <v>3940.05</v>
      </c>
      <c r="L25" s="124"/>
      <c r="M25" s="128"/>
      <c r="N25" s="124"/>
      <c r="O25" s="124"/>
      <c r="P25" s="126"/>
      <c r="Q25" s="126"/>
      <c r="R25" s="126"/>
      <c r="S25" s="126"/>
      <c r="T25" s="124"/>
      <c r="U25" s="124"/>
      <c r="V25" s="133"/>
      <c r="W25" s="124"/>
      <c r="X25" s="122"/>
      <c r="Y25" s="124"/>
      <c r="Z25" s="127"/>
      <c r="AA25" s="124"/>
      <c r="AB25" s="122">
        <f t="shared" si="1"/>
        <v>1000</v>
      </c>
      <c r="AC25" s="122">
        <f t="shared" si="1"/>
        <v>3940.05</v>
      </c>
      <c r="AD25" s="123"/>
      <c r="AE25" s="123"/>
      <c r="AF25" s="123"/>
      <c r="AG25" s="58">
        <v>120201</v>
      </c>
      <c r="AH25" s="58">
        <v>69860</v>
      </c>
    </row>
    <row r="26" spans="1:34" x14ac:dyDescent="0.25">
      <c r="A26" s="55">
        <v>25</v>
      </c>
      <c r="B26" s="55" t="s">
        <v>214</v>
      </c>
      <c r="C26" s="56" t="s">
        <v>289</v>
      </c>
      <c r="D26" s="124"/>
      <c r="E26" s="124"/>
      <c r="F26" s="124"/>
      <c r="G26" s="124"/>
      <c r="H26" s="125"/>
      <c r="I26" s="125">
        <v>150</v>
      </c>
      <c r="J26" s="124"/>
      <c r="K26" s="128"/>
      <c r="L26" s="124">
        <v>4000</v>
      </c>
      <c r="M26" s="289">
        <f>4010+100+20+200</f>
        <v>4330</v>
      </c>
      <c r="N26" s="124"/>
      <c r="O26" s="124"/>
      <c r="P26" s="128"/>
      <c r="Q26" s="128"/>
      <c r="R26" s="128"/>
      <c r="S26" s="128"/>
      <c r="T26" s="124"/>
      <c r="U26" s="124"/>
      <c r="V26" s="124"/>
      <c r="W26" s="124"/>
      <c r="X26" s="124"/>
      <c r="Y26" s="124"/>
      <c r="Z26" s="124"/>
      <c r="AA26" s="124"/>
      <c r="AB26" s="122">
        <f t="shared" si="1"/>
        <v>4000</v>
      </c>
      <c r="AC26" s="122">
        <f t="shared" si="1"/>
        <v>4480</v>
      </c>
      <c r="AD26" s="123"/>
      <c r="AE26" s="123"/>
      <c r="AF26" s="123"/>
      <c r="AG26" s="58"/>
      <c r="AH26" s="58"/>
    </row>
    <row r="27" spans="1:34" x14ac:dyDescent="0.25">
      <c r="A27" s="55">
        <v>26</v>
      </c>
      <c r="B27" s="55" t="s">
        <v>210</v>
      </c>
      <c r="C27" s="56" t="s">
        <v>446</v>
      </c>
      <c r="D27" s="128">
        <f>3462+15676</f>
        <v>19138</v>
      </c>
      <c r="E27" s="128">
        <f>3462+15676</f>
        <v>19138</v>
      </c>
      <c r="F27" s="128">
        <f>382+1528</f>
        <v>1910</v>
      </c>
      <c r="G27" s="128">
        <f>382+1528</f>
        <v>1910</v>
      </c>
      <c r="H27" s="126"/>
      <c r="I27" s="126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4"/>
      <c r="W27" s="124"/>
      <c r="X27" s="124"/>
      <c r="Y27" s="124"/>
      <c r="Z27" s="124"/>
      <c r="AA27" s="124"/>
      <c r="AB27" s="122">
        <f t="shared" si="1"/>
        <v>21048</v>
      </c>
      <c r="AC27" s="122">
        <f t="shared" si="1"/>
        <v>21048</v>
      </c>
      <c r="AD27" s="123"/>
      <c r="AE27" s="123"/>
      <c r="AF27" s="123"/>
      <c r="AG27" s="58"/>
      <c r="AH27" s="58">
        <v>29133</v>
      </c>
    </row>
    <row r="28" spans="1:34" x14ac:dyDescent="0.25">
      <c r="A28" s="55">
        <v>27</v>
      </c>
      <c r="B28" s="55" t="s">
        <v>210</v>
      </c>
      <c r="C28" s="56" t="s">
        <v>290</v>
      </c>
      <c r="D28" s="126">
        <f>68925-1800</f>
        <v>67125</v>
      </c>
      <c r="E28" s="126">
        <f>68925-1800</f>
        <v>67125</v>
      </c>
      <c r="F28" s="126">
        <f>7308-180</f>
        <v>7128</v>
      </c>
      <c r="G28" s="126">
        <f>7308-180</f>
        <v>7128</v>
      </c>
      <c r="H28" s="126">
        <v>14669</v>
      </c>
      <c r="I28" s="126">
        <v>14669</v>
      </c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>
        <v>2383</v>
      </c>
      <c r="U28" s="128">
        <v>2383</v>
      </c>
      <c r="V28" s="124"/>
      <c r="W28" s="124"/>
      <c r="X28" s="124"/>
      <c r="Y28" s="124"/>
      <c r="Z28" s="124"/>
      <c r="AA28" s="124"/>
      <c r="AB28" s="122">
        <f t="shared" si="1"/>
        <v>91305</v>
      </c>
      <c r="AC28" s="122">
        <f t="shared" si="1"/>
        <v>91305</v>
      </c>
      <c r="AD28" s="123"/>
      <c r="AE28" s="123"/>
      <c r="AF28" s="123"/>
      <c r="AG28" s="58"/>
      <c r="AH28" s="58"/>
    </row>
    <row r="29" spans="1:34" x14ac:dyDescent="0.25">
      <c r="A29" s="55">
        <v>28</v>
      </c>
      <c r="B29" s="55" t="s">
        <v>210</v>
      </c>
      <c r="C29" s="56" t="s">
        <v>338</v>
      </c>
      <c r="D29" s="128"/>
      <c r="E29" s="128"/>
      <c r="F29" s="128"/>
      <c r="G29" s="128"/>
      <c r="H29" s="126">
        <v>100</v>
      </c>
      <c r="I29" s="126">
        <v>100</v>
      </c>
      <c r="J29" s="128"/>
      <c r="K29" s="128"/>
      <c r="L29" s="128"/>
      <c r="M29" s="128"/>
      <c r="N29" s="128">
        <v>3000</v>
      </c>
      <c r="O29" s="128">
        <v>3000</v>
      </c>
      <c r="P29" s="128"/>
      <c r="Q29" s="128"/>
      <c r="R29" s="128"/>
      <c r="S29" s="128"/>
      <c r="T29" s="128"/>
      <c r="U29" s="128"/>
      <c r="V29" s="124"/>
      <c r="W29" s="124"/>
      <c r="X29" s="124"/>
      <c r="Y29" s="124"/>
      <c r="Z29" s="124">
        <v>10927.733</v>
      </c>
      <c r="AA29" s="124">
        <v>10927.733</v>
      </c>
      <c r="AB29" s="122">
        <f t="shared" si="1"/>
        <v>14027.733</v>
      </c>
      <c r="AC29" s="122">
        <f t="shared" si="1"/>
        <v>14027.733</v>
      </c>
      <c r="AD29" s="123"/>
      <c r="AE29" s="123"/>
      <c r="AF29" s="123"/>
      <c r="AG29" s="58"/>
      <c r="AH29" s="58"/>
    </row>
    <row r="30" spans="1:34" x14ac:dyDescent="0.25">
      <c r="A30" s="55">
        <v>29</v>
      </c>
      <c r="B30" s="55" t="s">
        <v>210</v>
      </c>
      <c r="C30" s="56" t="s">
        <v>291</v>
      </c>
      <c r="D30" s="128">
        <v>1600</v>
      </c>
      <c r="E30" s="289">
        <f>1600+150+1058.52</f>
        <v>2808.52</v>
      </c>
      <c r="F30" s="128">
        <v>312</v>
      </c>
      <c r="G30" s="289">
        <f>312+61.1+177.09</f>
        <v>550.19000000000005</v>
      </c>
      <c r="H30" s="126">
        <v>16672</v>
      </c>
      <c r="I30" s="290">
        <f>H30+175.26+100</f>
        <v>16947.259999999998</v>
      </c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4"/>
      <c r="W30" s="124"/>
      <c r="X30" s="124"/>
      <c r="Y30" s="124"/>
      <c r="Z30" s="124"/>
      <c r="AA30" s="124"/>
      <c r="AB30" s="122">
        <f t="shared" si="1"/>
        <v>18584</v>
      </c>
      <c r="AC30" s="122">
        <f t="shared" si="1"/>
        <v>20305.969999999998</v>
      </c>
      <c r="AD30" s="123"/>
      <c r="AE30" s="123"/>
      <c r="AF30" s="123"/>
      <c r="AG30" s="58"/>
      <c r="AH30" s="58"/>
    </row>
    <row r="31" spans="1:34" x14ac:dyDescent="0.25">
      <c r="A31" s="55">
        <v>30</v>
      </c>
      <c r="B31" s="55" t="s">
        <v>210</v>
      </c>
      <c r="C31" s="56" t="s">
        <v>447</v>
      </c>
      <c r="D31" s="128"/>
      <c r="E31" s="128"/>
      <c r="F31" s="128"/>
      <c r="G31" s="128"/>
      <c r="H31" s="126"/>
      <c r="I31" s="126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4">
        <f>1029+1189</f>
        <v>2218</v>
      </c>
      <c r="W31" s="124">
        <f>1029+1189</f>
        <v>2218</v>
      </c>
      <c r="X31" s="124"/>
      <c r="Y31" s="124"/>
      <c r="Z31" s="124"/>
      <c r="AA31" s="124"/>
      <c r="AB31" s="122">
        <f t="shared" si="1"/>
        <v>2218</v>
      </c>
      <c r="AC31" s="122">
        <f t="shared" si="1"/>
        <v>2218</v>
      </c>
      <c r="AD31" s="123"/>
      <c r="AE31" s="123"/>
      <c r="AF31" s="123"/>
      <c r="AG31" s="58"/>
      <c r="AH31" s="58">
        <v>3</v>
      </c>
    </row>
    <row r="32" spans="1:34" x14ac:dyDescent="0.25">
      <c r="A32" s="55">
        <v>31</v>
      </c>
      <c r="B32" s="55" t="s">
        <v>210</v>
      </c>
      <c r="C32" s="56" t="s">
        <v>292</v>
      </c>
      <c r="D32" s="128"/>
      <c r="E32" s="128"/>
      <c r="F32" s="128"/>
      <c r="G32" s="128"/>
      <c r="H32" s="126">
        <v>1440</v>
      </c>
      <c r="I32" s="126">
        <f>1440+60</f>
        <v>1500</v>
      </c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>
        <v>500</v>
      </c>
      <c r="U32" s="128">
        <v>500</v>
      </c>
      <c r="V32" s="124"/>
      <c r="W32" s="124"/>
      <c r="X32" s="124"/>
      <c r="Y32" s="124"/>
      <c r="Z32" s="124"/>
      <c r="AA32" s="124"/>
      <c r="AB32" s="122">
        <f t="shared" si="1"/>
        <v>1940</v>
      </c>
      <c r="AC32" s="122">
        <f t="shared" si="1"/>
        <v>2000</v>
      </c>
      <c r="AD32" s="123"/>
      <c r="AE32" s="123"/>
      <c r="AF32" s="123"/>
      <c r="AG32" s="58"/>
      <c r="AH32" s="58"/>
    </row>
    <row r="33" spans="1:35" x14ac:dyDescent="0.25">
      <c r="A33" s="55">
        <v>32</v>
      </c>
      <c r="B33" s="55" t="s">
        <v>210</v>
      </c>
      <c r="C33" s="56" t="s">
        <v>316</v>
      </c>
      <c r="D33" s="128"/>
      <c r="E33" s="128"/>
      <c r="F33" s="128"/>
      <c r="G33" s="128"/>
      <c r="H33" s="126">
        <v>147</v>
      </c>
      <c r="I33" s="126">
        <v>147</v>
      </c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4"/>
      <c r="W33" s="124"/>
      <c r="X33" s="124"/>
      <c r="Y33" s="124"/>
      <c r="Z33" s="124"/>
      <c r="AA33" s="124"/>
      <c r="AB33" s="122">
        <f t="shared" si="1"/>
        <v>147</v>
      </c>
      <c r="AC33" s="122">
        <f t="shared" si="1"/>
        <v>147</v>
      </c>
      <c r="AD33" s="123"/>
      <c r="AE33" s="123"/>
      <c r="AF33" s="123"/>
      <c r="AG33" s="58"/>
      <c r="AH33" s="58">
        <v>24806</v>
      </c>
    </row>
    <row r="34" spans="1:35" x14ac:dyDescent="0.25">
      <c r="A34" s="55">
        <v>33</v>
      </c>
      <c r="B34" s="55" t="s">
        <v>214</v>
      </c>
      <c r="C34" s="56" t="s">
        <v>293</v>
      </c>
      <c r="D34" s="128">
        <v>275</v>
      </c>
      <c r="E34" s="128">
        <v>275</v>
      </c>
      <c r="F34" s="128">
        <v>49</v>
      </c>
      <c r="G34" s="128">
        <v>49</v>
      </c>
      <c r="H34" s="126">
        <v>60</v>
      </c>
      <c r="I34" s="126">
        <v>60</v>
      </c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4"/>
      <c r="W34" s="124"/>
      <c r="X34" s="124"/>
      <c r="Y34" s="124"/>
      <c r="Z34" s="124"/>
      <c r="AA34" s="124"/>
      <c r="AB34" s="122">
        <f t="shared" si="1"/>
        <v>384</v>
      </c>
      <c r="AC34" s="122">
        <f t="shared" si="1"/>
        <v>384</v>
      </c>
      <c r="AD34" s="123"/>
      <c r="AE34" s="123"/>
      <c r="AF34" s="123"/>
      <c r="AG34" s="58"/>
      <c r="AH34" s="58">
        <v>66</v>
      </c>
    </row>
    <row r="35" spans="1:35" x14ac:dyDescent="0.25">
      <c r="A35" s="55">
        <v>34</v>
      </c>
      <c r="B35" s="55" t="s">
        <v>210</v>
      </c>
      <c r="C35" s="56" t="s">
        <v>331</v>
      </c>
      <c r="D35" s="128"/>
      <c r="E35" s="128"/>
      <c r="F35" s="128"/>
      <c r="G35" s="128"/>
      <c r="H35" s="126"/>
      <c r="I35" s="126"/>
      <c r="J35" s="128"/>
      <c r="K35" s="128"/>
      <c r="L35" s="128">
        <v>17445</v>
      </c>
      <c r="M35" s="128">
        <f>L35+2520</f>
        <v>19965</v>
      </c>
      <c r="N35" s="128"/>
      <c r="O35" s="128"/>
      <c r="P35" s="128"/>
      <c r="Q35" s="128"/>
      <c r="R35" s="128"/>
      <c r="S35" s="128"/>
      <c r="T35" s="128"/>
      <c r="U35" s="128"/>
      <c r="V35" s="124"/>
      <c r="W35" s="124"/>
      <c r="X35" s="124"/>
      <c r="Y35" s="124"/>
      <c r="Z35" s="124"/>
      <c r="AA35" s="124"/>
      <c r="AB35" s="122">
        <f t="shared" si="1"/>
        <v>17445</v>
      </c>
      <c r="AC35" s="122">
        <f t="shared" si="1"/>
        <v>19965</v>
      </c>
      <c r="AD35" s="123"/>
      <c r="AE35" s="123"/>
      <c r="AF35" s="123"/>
      <c r="AG35" s="58"/>
      <c r="AH35" s="58">
        <v>12020</v>
      </c>
      <c r="AI35" s="59">
        <f>SUM(AI21:AI34)</f>
        <v>0</v>
      </c>
    </row>
    <row r="36" spans="1:35" x14ac:dyDescent="0.25">
      <c r="A36" s="55">
        <v>35</v>
      </c>
      <c r="B36" s="55" t="s">
        <v>210</v>
      </c>
      <c r="C36" s="56" t="s">
        <v>294</v>
      </c>
      <c r="D36" s="128"/>
      <c r="E36" s="128"/>
      <c r="F36" s="128"/>
      <c r="G36" s="128"/>
      <c r="H36" s="126">
        <v>12394</v>
      </c>
      <c r="I36" s="126">
        <v>12394</v>
      </c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4"/>
      <c r="W36" s="124"/>
      <c r="X36" s="124"/>
      <c r="Y36" s="124"/>
      <c r="Z36" s="124"/>
      <c r="AA36" s="124"/>
      <c r="AB36" s="122">
        <f t="shared" si="1"/>
        <v>12394</v>
      </c>
      <c r="AC36" s="122">
        <f t="shared" si="1"/>
        <v>12394</v>
      </c>
      <c r="AD36" s="123"/>
      <c r="AE36" s="123"/>
      <c r="AF36" s="123"/>
      <c r="AG36" s="58"/>
      <c r="AH36" s="58">
        <v>13436</v>
      </c>
    </row>
    <row r="37" spans="1:35" x14ac:dyDescent="0.25">
      <c r="A37" s="55">
        <v>36</v>
      </c>
      <c r="B37" s="55" t="s">
        <v>210</v>
      </c>
      <c r="C37" s="56" t="s">
        <v>295</v>
      </c>
      <c r="D37" s="128"/>
      <c r="E37" s="128"/>
      <c r="F37" s="128"/>
      <c r="G37" s="128"/>
      <c r="H37" s="126">
        <v>32263</v>
      </c>
      <c r="I37" s="126">
        <f>32263+6.586</f>
        <v>32269.585999999999</v>
      </c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4"/>
      <c r="W37" s="124"/>
      <c r="X37" s="124"/>
      <c r="Y37" s="124"/>
      <c r="Z37" s="124"/>
      <c r="AA37" s="124"/>
      <c r="AB37" s="122">
        <f t="shared" si="1"/>
        <v>32263</v>
      </c>
      <c r="AC37" s="122">
        <f t="shared" si="1"/>
        <v>32269.585999999999</v>
      </c>
      <c r="AD37" s="123"/>
      <c r="AE37" s="123"/>
      <c r="AF37" s="123"/>
      <c r="AG37" s="58"/>
      <c r="AH37" s="58">
        <v>42409</v>
      </c>
    </row>
    <row r="38" spans="1:35" x14ac:dyDescent="0.25">
      <c r="A38" s="55">
        <v>37</v>
      </c>
      <c r="B38" s="55" t="s">
        <v>210</v>
      </c>
      <c r="C38" s="56" t="s">
        <v>333</v>
      </c>
      <c r="D38" s="128">
        <v>73</v>
      </c>
      <c r="E38" s="128">
        <f>73+532.552</f>
        <v>605.55200000000002</v>
      </c>
      <c r="F38" s="128">
        <v>12.8</v>
      </c>
      <c r="G38" s="128">
        <f>12.8+103.848</f>
        <v>116.648</v>
      </c>
      <c r="H38" s="126">
        <v>1047.7</v>
      </c>
      <c r="I38" s="126">
        <v>1047.7</v>
      </c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4"/>
      <c r="W38" s="124"/>
      <c r="X38" s="124"/>
      <c r="Y38" s="124"/>
      <c r="Z38" s="124"/>
      <c r="AA38" s="124"/>
      <c r="AB38" s="122">
        <f t="shared" si="1"/>
        <v>1133.5</v>
      </c>
      <c r="AC38" s="122">
        <f t="shared" si="1"/>
        <v>1769.9</v>
      </c>
      <c r="AD38" s="123"/>
      <c r="AE38" s="123"/>
      <c r="AF38" s="123"/>
      <c r="AG38" s="58"/>
      <c r="AH38" s="58"/>
    </row>
    <row r="39" spans="1:35" x14ac:dyDescent="0.25">
      <c r="A39" s="55">
        <v>38</v>
      </c>
      <c r="B39" s="55" t="s">
        <v>210</v>
      </c>
      <c r="C39" s="56" t="s">
        <v>448</v>
      </c>
      <c r="D39" s="128"/>
      <c r="E39" s="128"/>
      <c r="F39" s="128"/>
      <c r="G39" s="128"/>
      <c r="H39" s="126"/>
      <c r="I39" s="126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>
        <v>1800</v>
      </c>
      <c r="U39" s="128">
        <v>1800</v>
      </c>
      <c r="V39" s="124"/>
      <c r="W39" s="124"/>
      <c r="X39" s="124"/>
      <c r="Y39" s="124"/>
      <c r="Z39" s="124"/>
      <c r="AA39" s="124"/>
      <c r="AB39" s="122">
        <f t="shared" si="1"/>
        <v>1800</v>
      </c>
      <c r="AC39" s="122">
        <f t="shared" si="1"/>
        <v>1800</v>
      </c>
      <c r="AD39" s="123"/>
      <c r="AE39" s="123"/>
      <c r="AF39" s="123"/>
      <c r="AG39" s="58"/>
      <c r="AH39" s="58">
        <v>706</v>
      </c>
    </row>
    <row r="40" spans="1:35" x14ac:dyDescent="0.25">
      <c r="A40" s="55">
        <v>39</v>
      </c>
      <c r="B40" s="55" t="s">
        <v>210</v>
      </c>
      <c r="C40" s="132" t="s">
        <v>336</v>
      </c>
      <c r="D40" s="128"/>
      <c r="E40" s="128"/>
      <c r="F40" s="128"/>
      <c r="G40" s="128"/>
      <c r="H40" s="126">
        <v>1128</v>
      </c>
      <c r="I40" s="126">
        <v>1128</v>
      </c>
      <c r="J40" s="128"/>
      <c r="K40" s="128"/>
      <c r="L40" s="128"/>
      <c r="M40" s="128"/>
      <c r="N40" s="128">
        <v>2903</v>
      </c>
      <c r="O40" s="128">
        <v>2903</v>
      </c>
      <c r="P40" s="128"/>
      <c r="Q40" s="128"/>
      <c r="R40" s="128"/>
      <c r="S40" s="128"/>
      <c r="T40" s="128"/>
      <c r="U40" s="128"/>
      <c r="V40" s="124"/>
      <c r="W40" s="124"/>
      <c r="X40" s="124"/>
      <c r="Y40" s="124"/>
      <c r="Z40" s="124"/>
      <c r="AA40" s="124"/>
      <c r="AB40" s="122">
        <f t="shared" si="1"/>
        <v>4031</v>
      </c>
      <c r="AC40" s="122">
        <f t="shared" si="1"/>
        <v>4031</v>
      </c>
      <c r="AD40" s="123"/>
      <c r="AE40" s="123"/>
      <c r="AF40" s="123"/>
      <c r="AG40" s="58"/>
      <c r="AH40" s="58">
        <v>1171</v>
      </c>
    </row>
    <row r="41" spans="1:35" x14ac:dyDescent="0.25">
      <c r="A41" s="55">
        <v>40</v>
      </c>
      <c r="B41" s="55" t="s">
        <v>214</v>
      </c>
      <c r="C41" s="56" t="s">
        <v>335</v>
      </c>
      <c r="D41" s="128"/>
      <c r="E41" s="128"/>
      <c r="F41" s="128"/>
      <c r="G41" s="128"/>
      <c r="H41" s="126">
        <v>446</v>
      </c>
      <c r="I41" s="126">
        <v>446</v>
      </c>
      <c r="J41" s="128"/>
      <c r="K41" s="128"/>
      <c r="L41" s="128">
        <v>250</v>
      </c>
      <c r="M41" s="128">
        <v>250</v>
      </c>
      <c r="N41" s="128"/>
      <c r="O41" s="128"/>
      <c r="P41" s="128"/>
      <c r="Q41" s="128"/>
      <c r="R41" s="128"/>
      <c r="S41" s="128"/>
      <c r="T41" s="128"/>
      <c r="U41" s="128"/>
      <c r="V41" s="124"/>
      <c r="W41" s="124"/>
      <c r="X41" s="124"/>
      <c r="Y41" s="124"/>
      <c r="Z41" s="124"/>
      <c r="AA41" s="124"/>
      <c r="AB41" s="122">
        <f t="shared" si="1"/>
        <v>696</v>
      </c>
      <c r="AC41" s="122">
        <f t="shared" si="1"/>
        <v>696</v>
      </c>
      <c r="AD41" s="123"/>
      <c r="AE41" s="123"/>
      <c r="AF41" s="123"/>
      <c r="AG41" s="58"/>
      <c r="AH41" s="58">
        <v>1551</v>
      </c>
    </row>
    <row r="42" spans="1:35" x14ac:dyDescent="0.25">
      <c r="A42" s="55">
        <v>41</v>
      </c>
      <c r="B42" s="55" t="s">
        <v>210</v>
      </c>
      <c r="C42" s="56" t="s">
        <v>334</v>
      </c>
      <c r="D42" s="128"/>
      <c r="E42" s="128"/>
      <c r="F42" s="128"/>
      <c r="G42" s="128"/>
      <c r="H42" s="126">
        <v>410</v>
      </c>
      <c r="I42" s="126">
        <v>410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4"/>
      <c r="W42" s="124"/>
      <c r="X42" s="124"/>
      <c r="Y42" s="124"/>
      <c r="Z42" s="124"/>
      <c r="AA42" s="124"/>
      <c r="AB42" s="122">
        <f t="shared" si="1"/>
        <v>410</v>
      </c>
      <c r="AC42" s="122">
        <f t="shared" si="1"/>
        <v>410</v>
      </c>
      <c r="AD42" s="123"/>
      <c r="AE42" s="123"/>
      <c r="AF42" s="123"/>
      <c r="AG42" s="58"/>
      <c r="AH42" s="58">
        <v>4552</v>
      </c>
    </row>
    <row r="43" spans="1:35" x14ac:dyDescent="0.25">
      <c r="A43" s="55">
        <v>42</v>
      </c>
      <c r="B43" s="55" t="s">
        <v>210</v>
      </c>
      <c r="C43" s="56" t="s">
        <v>317</v>
      </c>
      <c r="D43" s="128"/>
      <c r="E43" s="128"/>
      <c r="F43" s="128"/>
      <c r="G43" s="128"/>
      <c r="H43" s="126">
        <v>626</v>
      </c>
      <c r="I43" s="126">
        <v>626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4"/>
      <c r="W43" s="124"/>
      <c r="X43" s="124"/>
      <c r="Y43" s="124"/>
      <c r="Z43" s="124"/>
      <c r="AA43" s="124"/>
      <c r="AB43" s="122">
        <f t="shared" si="1"/>
        <v>626</v>
      </c>
      <c r="AC43" s="122">
        <f t="shared" si="1"/>
        <v>626</v>
      </c>
      <c r="AD43" s="123"/>
      <c r="AE43" s="123"/>
      <c r="AF43" s="123"/>
      <c r="AG43" s="58"/>
      <c r="AH43" s="58"/>
    </row>
    <row r="44" spans="1:35" x14ac:dyDescent="0.25">
      <c r="A44" s="55">
        <v>43</v>
      </c>
      <c r="B44" s="55" t="s">
        <v>210</v>
      </c>
      <c r="C44" s="56" t="s">
        <v>449</v>
      </c>
      <c r="D44" s="128"/>
      <c r="E44" s="128"/>
      <c r="F44" s="128"/>
      <c r="G44" s="128"/>
      <c r="H44" s="126">
        <v>500</v>
      </c>
      <c r="I44" s="126">
        <v>500</v>
      </c>
      <c r="J44" s="128"/>
      <c r="K44" s="128"/>
      <c r="L44" s="128">
        <v>5285</v>
      </c>
      <c r="M44" s="128">
        <v>5285</v>
      </c>
      <c r="N44" s="128"/>
      <c r="O44" s="128"/>
      <c r="P44" s="128"/>
      <c r="Q44" s="128"/>
      <c r="R44" s="128"/>
      <c r="S44" s="128"/>
      <c r="T44" s="128"/>
      <c r="U44" s="128"/>
      <c r="V44" s="124"/>
      <c r="W44" s="124"/>
      <c r="X44" s="124"/>
      <c r="Y44" s="124"/>
      <c r="Z44" s="124"/>
      <c r="AA44" s="124"/>
      <c r="AB44" s="122">
        <f t="shared" si="1"/>
        <v>5785</v>
      </c>
      <c r="AC44" s="122">
        <f t="shared" si="1"/>
        <v>5785</v>
      </c>
      <c r="AD44" s="123"/>
      <c r="AE44" s="123"/>
      <c r="AF44" s="123"/>
      <c r="AG44" s="58"/>
      <c r="AH44" s="58"/>
    </row>
    <row r="45" spans="1:35" x14ac:dyDescent="0.25">
      <c r="A45" s="55">
        <v>44</v>
      </c>
      <c r="B45" s="55" t="s">
        <v>210</v>
      </c>
      <c r="C45" s="56" t="s">
        <v>450</v>
      </c>
      <c r="D45" s="128"/>
      <c r="E45" s="128"/>
      <c r="F45" s="128"/>
      <c r="G45" s="128"/>
      <c r="H45" s="126"/>
      <c r="I45" s="126"/>
      <c r="J45" s="128"/>
      <c r="K45" s="128"/>
      <c r="L45" s="128">
        <v>12.1</v>
      </c>
      <c r="M45" s="128">
        <v>12.1</v>
      </c>
      <c r="N45" s="128"/>
      <c r="O45" s="128"/>
      <c r="P45" s="128"/>
      <c r="Q45" s="128"/>
      <c r="R45" s="128"/>
      <c r="S45" s="128"/>
      <c r="T45" s="128"/>
      <c r="U45" s="128"/>
      <c r="V45" s="124"/>
      <c r="W45" s="124"/>
      <c r="X45" s="124"/>
      <c r="Y45" s="124"/>
      <c r="Z45" s="124"/>
      <c r="AA45" s="124"/>
      <c r="AB45" s="122">
        <f t="shared" si="1"/>
        <v>12.1</v>
      </c>
      <c r="AC45" s="122">
        <f t="shared" si="1"/>
        <v>12.1</v>
      </c>
      <c r="AD45" s="123"/>
      <c r="AE45" s="123"/>
      <c r="AF45" s="123"/>
      <c r="AG45" s="58"/>
      <c r="AH45" s="58"/>
    </row>
    <row r="46" spans="1:35" x14ac:dyDescent="0.25">
      <c r="A46" s="55">
        <v>45</v>
      </c>
      <c r="B46" s="55" t="s">
        <v>214</v>
      </c>
      <c r="C46" s="56" t="s">
        <v>342</v>
      </c>
      <c r="D46" s="128"/>
      <c r="E46" s="128"/>
      <c r="F46" s="128"/>
      <c r="G46" s="128"/>
      <c r="H46" s="126">
        <v>4810</v>
      </c>
      <c r="I46" s="126">
        <v>4810</v>
      </c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4"/>
      <c r="W46" s="124"/>
      <c r="X46" s="124"/>
      <c r="Y46" s="124"/>
      <c r="Z46" s="124"/>
      <c r="AA46" s="124"/>
      <c r="AB46" s="122">
        <f t="shared" si="1"/>
        <v>4810</v>
      </c>
      <c r="AC46" s="122">
        <f t="shared" si="1"/>
        <v>4810</v>
      </c>
      <c r="AD46" s="123"/>
      <c r="AE46" s="123"/>
      <c r="AF46" s="123"/>
      <c r="AG46" s="58"/>
      <c r="AH46" s="58"/>
    </row>
    <row r="47" spans="1:35" x14ac:dyDescent="0.25">
      <c r="A47" s="55">
        <v>46</v>
      </c>
      <c r="B47" s="55" t="s">
        <v>210</v>
      </c>
      <c r="C47" s="56" t="s">
        <v>340</v>
      </c>
      <c r="D47" s="128"/>
      <c r="E47" s="128"/>
      <c r="F47" s="128"/>
      <c r="G47" s="128"/>
      <c r="H47" s="126">
        <v>165</v>
      </c>
      <c r="I47" s="126">
        <v>165</v>
      </c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4"/>
      <c r="W47" s="124"/>
      <c r="X47" s="124"/>
      <c r="Y47" s="124"/>
      <c r="Z47" s="124"/>
      <c r="AA47" s="124"/>
      <c r="AB47" s="122">
        <f t="shared" si="1"/>
        <v>165</v>
      </c>
      <c r="AC47" s="122">
        <f t="shared" si="1"/>
        <v>165</v>
      </c>
      <c r="AD47" s="123"/>
      <c r="AE47" s="123"/>
      <c r="AF47" s="123"/>
      <c r="AG47" s="58"/>
      <c r="AH47" s="58"/>
    </row>
    <row r="48" spans="1:35" x14ac:dyDescent="0.25">
      <c r="A48" s="55">
        <v>47</v>
      </c>
      <c r="B48" s="55" t="s">
        <v>214</v>
      </c>
      <c r="C48" s="56" t="s">
        <v>451</v>
      </c>
      <c r="D48" s="128"/>
      <c r="E48" s="128"/>
      <c r="F48" s="128"/>
      <c r="G48" s="128"/>
      <c r="H48" s="126">
        <v>50</v>
      </c>
      <c r="I48" s="126">
        <v>50</v>
      </c>
      <c r="J48" s="128"/>
      <c r="K48" s="128"/>
      <c r="L48" s="128" t="s">
        <v>271</v>
      </c>
      <c r="M48" s="128"/>
      <c r="N48" s="128"/>
      <c r="O48" s="128"/>
      <c r="P48" s="128"/>
      <c r="Q48" s="128"/>
      <c r="R48" s="128"/>
      <c r="S48" s="128"/>
      <c r="T48" s="128"/>
      <c r="U48" s="128"/>
      <c r="V48" s="124"/>
      <c r="W48" s="124"/>
      <c r="X48" s="124"/>
      <c r="Y48" s="124"/>
      <c r="Z48" s="124"/>
      <c r="AA48" s="124"/>
      <c r="AB48" s="122">
        <f>D48+F48+H48+J48</f>
        <v>50</v>
      </c>
      <c r="AC48" s="122">
        <f t="shared" si="1"/>
        <v>50</v>
      </c>
      <c r="AD48" s="123"/>
      <c r="AE48" s="123"/>
      <c r="AF48" s="123"/>
      <c r="AG48" s="58"/>
      <c r="AH48" s="58"/>
    </row>
    <row r="49" spans="1:34" x14ac:dyDescent="0.25">
      <c r="A49" s="55">
        <v>48</v>
      </c>
      <c r="B49" s="55" t="s">
        <v>214</v>
      </c>
      <c r="C49" s="56" t="s">
        <v>507</v>
      </c>
      <c r="D49" s="128"/>
      <c r="E49" s="128"/>
      <c r="F49" s="128"/>
      <c r="G49" s="128"/>
      <c r="H49" s="126"/>
      <c r="I49" s="126">
        <v>10</v>
      </c>
      <c r="J49" s="128"/>
      <c r="K49" s="128"/>
      <c r="L49" s="128"/>
      <c r="M49" s="128"/>
      <c r="N49" s="128">
        <v>955</v>
      </c>
      <c r="O49" s="128">
        <v>955</v>
      </c>
      <c r="P49" s="128"/>
      <c r="Q49" s="128"/>
      <c r="R49" s="128"/>
      <c r="S49" s="128"/>
      <c r="T49" s="128"/>
      <c r="U49" s="128">
        <v>299.23</v>
      </c>
      <c r="V49" s="124"/>
      <c r="W49" s="124"/>
      <c r="X49" s="124"/>
      <c r="Y49" s="124"/>
      <c r="Z49" s="124"/>
      <c r="AA49" s="124"/>
      <c r="AB49" s="122">
        <f>Z49+X49+V49+T49+P49+L49+J49+H49+F49+D49+N49</f>
        <v>955</v>
      </c>
      <c r="AC49" s="122">
        <f t="shared" si="1"/>
        <v>1264.23</v>
      </c>
      <c r="AD49" s="123"/>
      <c r="AE49" s="123"/>
      <c r="AF49" s="123"/>
      <c r="AG49" s="58"/>
      <c r="AH49" s="58"/>
    </row>
    <row r="50" spans="1:34" x14ac:dyDescent="0.25">
      <c r="A50" s="55">
        <v>49</v>
      </c>
      <c r="B50" s="55" t="s">
        <v>214</v>
      </c>
      <c r="C50" s="56" t="s">
        <v>452</v>
      </c>
      <c r="D50" s="128"/>
      <c r="E50" s="128"/>
      <c r="F50" s="128"/>
      <c r="G50" s="128"/>
      <c r="H50" s="126"/>
      <c r="I50" s="126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>
        <v>700</v>
      </c>
      <c r="U50" s="128">
        <v>700</v>
      </c>
      <c r="V50" s="124"/>
      <c r="W50" s="124"/>
      <c r="X50" s="124"/>
      <c r="Y50" s="124"/>
      <c r="Z50" s="124"/>
      <c r="AA50" s="124"/>
      <c r="AB50" s="122">
        <f t="shared" si="1"/>
        <v>700</v>
      </c>
      <c r="AC50" s="122">
        <f t="shared" si="1"/>
        <v>700</v>
      </c>
      <c r="AD50" s="123"/>
      <c r="AE50" s="123"/>
      <c r="AF50" s="123"/>
      <c r="AG50" s="58"/>
      <c r="AH50" s="58"/>
    </row>
    <row r="51" spans="1:34" x14ac:dyDescent="0.25">
      <c r="A51" s="55">
        <v>50</v>
      </c>
      <c r="B51" s="55" t="s">
        <v>214</v>
      </c>
      <c r="C51" s="56" t="s">
        <v>389</v>
      </c>
      <c r="D51" s="128"/>
      <c r="E51" s="128"/>
      <c r="F51" s="128"/>
      <c r="G51" s="128"/>
      <c r="H51" s="126">
        <v>1767</v>
      </c>
      <c r="I51" s="341">
        <v>1767</v>
      </c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>
        <v>110015</v>
      </c>
      <c r="U51" s="128">
        <f>110015-10294.564</f>
        <v>99720.436000000002</v>
      </c>
      <c r="V51" s="124"/>
      <c r="W51" s="124"/>
      <c r="X51" s="124"/>
      <c r="Y51" s="124"/>
      <c r="Z51" s="124"/>
      <c r="AA51" s="124"/>
      <c r="AB51" s="122">
        <f t="shared" si="1"/>
        <v>111782</v>
      </c>
      <c r="AC51" s="122">
        <f t="shared" si="1"/>
        <v>101487.436</v>
      </c>
      <c r="AD51" s="123"/>
      <c r="AE51" s="123"/>
      <c r="AF51" s="123"/>
      <c r="AG51" s="58"/>
      <c r="AH51" s="58"/>
    </row>
    <row r="52" spans="1:34" x14ac:dyDescent="0.25">
      <c r="A52" s="55">
        <v>51</v>
      </c>
      <c r="B52" s="55" t="s">
        <v>214</v>
      </c>
      <c r="C52" s="56" t="s">
        <v>390</v>
      </c>
      <c r="D52" s="128"/>
      <c r="E52" s="128"/>
      <c r="F52" s="128"/>
      <c r="G52" s="128"/>
      <c r="H52" s="126">
        <v>685</v>
      </c>
      <c r="I52" s="341">
        <v>685</v>
      </c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>
        <v>46438</v>
      </c>
      <c r="U52" s="128">
        <v>46438</v>
      </c>
      <c r="V52" s="124"/>
      <c r="W52" s="124"/>
      <c r="X52" s="124"/>
      <c r="Y52" s="124"/>
      <c r="Z52" s="124"/>
      <c r="AA52" s="124"/>
      <c r="AB52" s="122">
        <f t="shared" si="1"/>
        <v>47123</v>
      </c>
      <c r="AC52" s="122">
        <f t="shared" si="1"/>
        <v>47123</v>
      </c>
      <c r="AD52" s="123"/>
      <c r="AE52" s="123"/>
      <c r="AF52" s="123"/>
      <c r="AG52" s="58"/>
      <c r="AH52" s="58"/>
    </row>
    <row r="53" spans="1:34" x14ac:dyDescent="0.25">
      <c r="A53" s="55">
        <v>52</v>
      </c>
      <c r="B53" s="55" t="s">
        <v>214</v>
      </c>
      <c r="C53" s="56" t="s">
        <v>345</v>
      </c>
      <c r="D53" s="128">
        <v>9241</v>
      </c>
      <c r="E53" s="340">
        <v>9241</v>
      </c>
      <c r="F53" s="128">
        <v>2033</v>
      </c>
      <c r="G53" s="340">
        <v>2033</v>
      </c>
      <c r="H53" s="126">
        <v>29690</v>
      </c>
      <c r="I53" s="341">
        <v>29690</v>
      </c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4"/>
      <c r="W53" s="124"/>
      <c r="X53" s="124"/>
      <c r="Y53" s="124"/>
      <c r="Z53" s="124"/>
      <c r="AA53" s="124"/>
      <c r="AB53" s="122">
        <f t="shared" si="1"/>
        <v>40964</v>
      </c>
      <c r="AC53" s="122">
        <f t="shared" si="1"/>
        <v>40964</v>
      </c>
      <c r="AD53" s="123"/>
      <c r="AE53" s="123"/>
      <c r="AF53" s="123"/>
      <c r="AG53" s="58"/>
      <c r="AH53" s="58"/>
    </row>
    <row r="54" spans="1:34" x14ac:dyDescent="0.25">
      <c r="A54" s="55">
        <v>53</v>
      </c>
      <c r="B54" s="55" t="s">
        <v>214</v>
      </c>
      <c r="C54" s="56" t="s">
        <v>348</v>
      </c>
      <c r="D54" s="128"/>
      <c r="E54" s="340"/>
      <c r="F54" s="128"/>
      <c r="G54" s="340"/>
      <c r="H54" s="126">
        <v>2102</v>
      </c>
      <c r="I54" s="341">
        <v>2102</v>
      </c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>
        <v>55115</v>
      </c>
      <c r="U54" s="128">
        <v>55115</v>
      </c>
      <c r="V54" s="124"/>
      <c r="W54" s="124"/>
      <c r="X54" s="124"/>
      <c r="Y54" s="124"/>
      <c r="Z54" s="124"/>
      <c r="AA54" s="124"/>
      <c r="AB54" s="122">
        <f t="shared" si="1"/>
        <v>57217</v>
      </c>
      <c r="AC54" s="122">
        <f t="shared" si="1"/>
        <v>57217</v>
      </c>
      <c r="AD54" s="123"/>
      <c r="AE54" s="123"/>
      <c r="AF54" s="123"/>
      <c r="AG54" s="58"/>
      <c r="AH54" s="58"/>
    </row>
    <row r="55" spans="1:34" x14ac:dyDescent="0.25">
      <c r="A55" s="55">
        <v>54</v>
      </c>
      <c r="B55" s="55" t="s">
        <v>214</v>
      </c>
      <c r="C55" s="56" t="s">
        <v>453</v>
      </c>
      <c r="D55" s="128">
        <f>14819-4938</f>
        <v>9881</v>
      </c>
      <c r="E55" s="340">
        <f>14819-4938</f>
        <v>9881</v>
      </c>
      <c r="F55" s="128">
        <f>3189-1063</f>
        <v>2126</v>
      </c>
      <c r="G55" s="340">
        <f>3189-1063</f>
        <v>2126</v>
      </c>
      <c r="H55" s="126">
        <v>1493</v>
      </c>
      <c r="I55" s="341">
        <v>1493</v>
      </c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4"/>
      <c r="W55" s="124"/>
      <c r="X55" s="124">
        <v>6656.232</v>
      </c>
      <c r="Y55" s="124">
        <v>6656.232</v>
      </c>
      <c r="Z55" s="124"/>
      <c r="AA55" s="124"/>
      <c r="AB55" s="122">
        <f t="shared" si="1"/>
        <v>20156.232</v>
      </c>
      <c r="AC55" s="122">
        <f t="shared" si="1"/>
        <v>20156.232</v>
      </c>
      <c r="AD55" s="123"/>
      <c r="AE55" s="123"/>
      <c r="AF55" s="123"/>
      <c r="AG55" s="58"/>
      <c r="AH55" s="58"/>
    </row>
    <row r="56" spans="1:34" x14ac:dyDescent="0.25">
      <c r="A56" s="55">
        <v>55</v>
      </c>
      <c r="B56" s="55" t="s">
        <v>214</v>
      </c>
      <c r="C56" s="56" t="s">
        <v>344</v>
      </c>
      <c r="D56" s="128">
        <v>2448</v>
      </c>
      <c r="E56" s="340">
        <v>2448</v>
      </c>
      <c r="F56" s="128">
        <v>1252</v>
      </c>
      <c r="G56" s="340">
        <v>1252</v>
      </c>
      <c r="H56" s="126">
        <v>11915</v>
      </c>
      <c r="I56" s="341">
        <v>11915</v>
      </c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>
        <v>189753</v>
      </c>
      <c r="U56" s="128">
        <f>189753+508</f>
        <v>190261</v>
      </c>
      <c r="V56" s="124"/>
      <c r="W56" s="124"/>
      <c r="X56" s="124">
        <v>2846</v>
      </c>
      <c r="Y56" s="124">
        <v>2846</v>
      </c>
      <c r="Z56" s="124"/>
      <c r="AA56" s="124"/>
      <c r="AB56" s="122">
        <f t="shared" si="1"/>
        <v>208214</v>
      </c>
      <c r="AC56" s="122">
        <f t="shared" si="1"/>
        <v>208722</v>
      </c>
      <c r="AD56" s="123"/>
      <c r="AE56" s="123"/>
      <c r="AF56" s="123"/>
      <c r="AG56" s="58"/>
      <c r="AH56" s="58"/>
    </row>
    <row r="57" spans="1:34" x14ac:dyDescent="0.25">
      <c r="A57" s="55">
        <v>56</v>
      </c>
      <c r="B57" s="189" t="s">
        <v>214</v>
      </c>
      <c r="C57" s="56" t="s">
        <v>346</v>
      </c>
      <c r="D57" s="128"/>
      <c r="E57" s="340"/>
      <c r="F57" s="128"/>
      <c r="G57" s="340"/>
      <c r="H57" s="126">
        <f>2180+350</f>
        <v>2530</v>
      </c>
      <c r="I57" s="341">
        <f>2180+350</f>
        <v>2530</v>
      </c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>
        <v>45500</v>
      </c>
      <c r="U57" s="128">
        <v>45500</v>
      </c>
      <c r="V57" s="124"/>
      <c r="W57" s="124"/>
      <c r="X57" s="124"/>
      <c r="Y57" s="124"/>
      <c r="Z57" s="124"/>
      <c r="AA57" s="124"/>
      <c r="AB57" s="122">
        <f t="shared" si="1"/>
        <v>48030</v>
      </c>
      <c r="AC57" s="122">
        <f t="shared" si="1"/>
        <v>48030</v>
      </c>
      <c r="AD57" s="123"/>
      <c r="AE57" s="123"/>
      <c r="AF57" s="123"/>
      <c r="AG57" s="58"/>
      <c r="AH57" s="58"/>
    </row>
    <row r="58" spans="1:34" x14ac:dyDescent="0.25">
      <c r="A58" s="55">
        <v>57</v>
      </c>
      <c r="B58" s="55" t="s">
        <v>214</v>
      </c>
      <c r="C58" s="56" t="s">
        <v>347</v>
      </c>
      <c r="D58" s="128"/>
      <c r="E58" s="340"/>
      <c r="F58" s="128"/>
      <c r="G58" s="340"/>
      <c r="H58" s="126">
        <v>11355</v>
      </c>
      <c r="I58" s="341">
        <v>11355</v>
      </c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>
        <v>159401</v>
      </c>
      <c r="U58" s="128">
        <v>159401</v>
      </c>
      <c r="V58" s="124"/>
      <c r="W58" s="124"/>
      <c r="X58" s="124"/>
      <c r="Y58" s="124"/>
      <c r="Z58" s="124"/>
      <c r="AA58" s="124"/>
      <c r="AB58" s="122">
        <f t="shared" si="1"/>
        <v>170756</v>
      </c>
      <c r="AC58" s="122">
        <f t="shared" si="1"/>
        <v>170756</v>
      </c>
      <c r="AD58" s="123"/>
      <c r="AE58" s="123"/>
      <c r="AF58" s="123"/>
      <c r="AG58" s="58"/>
      <c r="AH58" s="58"/>
    </row>
    <row r="59" spans="1:34" x14ac:dyDescent="0.25">
      <c r="A59" s="55">
        <v>58</v>
      </c>
      <c r="B59" s="55" t="s">
        <v>214</v>
      </c>
      <c r="C59" s="56" t="s">
        <v>513</v>
      </c>
      <c r="D59" s="128"/>
      <c r="E59" s="340"/>
      <c r="F59" s="128"/>
      <c r="G59" s="340"/>
      <c r="H59" s="126"/>
      <c r="I59" s="341">
        <v>460.35</v>
      </c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4"/>
      <c r="W59" s="124"/>
      <c r="X59" s="124"/>
      <c r="Y59" s="124"/>
      <c r="Z59" s="124"/>
      <c r="AA59" s="124"/>
      <c r="AB59" s="122"/>
      <c r="AC59" s="122">
        <f t="shared" si="1"/>
        <v>460.35</v>
      </c>
      <c r="AD59" s="123"/>
      <c r="AE59" s="123"/>
      <c r="AF59" s="123"/>
      <c r="AG59" s="58"/>
      <c r="AH59" s="58"/>
    </row>
    <row r="60" spans="1:34" x14ac:dyDescent="0.25">
      <c r="A60" s="55">
        <v>59</v>
      </c>
      <c r="B60" s="55" t="s">
        <v>214</v>
      </c>
      <c r="C60" s="56" t="s">
        <v>524</v>
      </c>
      <c r="D60" s="128"/>
      <c r="E60" s="340">
        <v>11285</v>
      </c>
      <c r="F60" s="128"/>
      <c r="G60" s="340">
        <v>2201.1999999999998</v>
      </c>
      <c r="H60" s="126"/>
      <c r="I60" s="341">
        <f>762+1104</f>
        <v>1866</v>
      </c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4"/>
      <c r="W60" s="124"/>
      <c r="X60" s="124"/>
      <c r="Y60" s="124"/>
      <c r="Z60" s="124"/>
      <c r="AA60" s="124"/>
      <c r="AB60" s="122">
        <f t="shared" si="1"/>
        <v>0</v>
      </c>
      <c r="AC60" s="122">
        <f t="shared" si="1"/>
        <v>15352.2</v>
      </c>
      <c r="AD60" s="123"/>
      <c r="AE60" s="123"/>
      <c r="AF60" s="123"/>
      <c r="AG60" s="58"/>
      <c r="AH60" s="58"/>
    </row>
    <row r="61" spans="1:34" x14ac:dyDescent="0.25">
      <c r="A61" s="55">
        <v>60</v>
      </c>
      <c r="B61" s="55" t="s">
        <v>214</v>
      </c>
      <c r="C61" s="56" t="s">
        <v>461</v>
      </c>
      <c r="D61" s="128"/>
      <c r="E61" s="340">
        <v>6375</v>
      </c>
      <c r="F61" s="128"/>
      <c r="G61" s="340">
        <v>1243.3</v>
      </c>
      <c r="H61" s="126"/>
      <c r="I61" s="341">
        <f>506+1270</f>
        <v>1776</v>
      </c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4"/>
      <c r="W61" s="124"/>
      <c r="X61" s="124"/>
      <c r="Y61" s="124"/>
      <c r="Z61" s="124"/>
      <c r="AA61" s="124"/>
      <c r="AB61" s="122"/>
      <c r="AC61" s="122">
        <f t="shared" si="1"/>
        <v>9394.2999999999993</v>
      </c>
      <c r="AD61" s="123"/>
      <c r="AE61" s="123"/>
      <c r="AF61" s="123"/>
      <c r="AG61" s="58"/>
      <c r="AH61" s="58"/>
    </row>
    <row r="62" spans="1:34" x14ac:dyDescent="0.25">
      <c r="A62" s="55">
        <v>61</v>
      </c>
      <c r="B62" s="55" t="s">
        <v>214</v>
      </c>
      <c r="C62" s="56" t="s">
        <v>506</v>
      </c>
      <c r="D62" s="128"/>
      <c r="E62" s="128"/>
      <c r="F62" s="128"/>
      <c r="G62" s="128"/>
      <c r="H62" s="126"/>
      <c r="I62" s="126">
        <v>50</v>
      </c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4"/>
      <c r="W62" s="124"/>
      <c r="X62" s="124"/>
      <c r="Y62" s="124"/>
      <c r="Z62" s="124"/>
      <c r="AA62" s="124"/>
      <c r="AB62" s="122"/>
      <c r="AC62" s="122">
        <f t="shared" si="1"/>
        <v>50</v>
      </c>
      <c r="AD62" s="123"/>
      <c r="AE62" s="123"/>
      <c r="AF62" s="123"/>
      <c r="AG62" s="58"/>
      <c r="AH62" s="58"/>
    </row>
    <row r="63" spans="1:34" x14ac:dyDescent="0.25">
      <c r="A63" s="55">
        <v>62</v>
      </c>
      <c r="B63" s="55" t="s">
        <v>210</v>
      </c>
      <c r="C63" s="56" t="s">
        <v>459</v>
      </c>
      <c r="D63" s="128"/>
      <c r="E63" s="128"/>
      <c r="F63" s="128"/>
      <c r="G63" s="128"/>
      <c r="H63" s="126"/>
      <c r="I63" s="126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4"/>
      <c r="W63" s="124">
        <f>2647.06+61.756</f>
        <v>2708.8159999999998</v>
      </c>
      <c r="X63" s="124"/>
      <c r="Y63" s="124"/>
      <c r="Z63" s="124"/>
      <c r="AA63" s="124"/>
      <c r="AB63" s="122">
        <f t="shared" si="1"/>
        <v>0</v>
      </c>
      <c r="AC63" s="122">
        <f t="shared" si="1"/>
        <v>2708.8159999999998</v>
      </c>
      <c r="AD63" s="123"/>
      <c r="AE63" s="123"/>
      <c r="AF63" s="123"/>
      <c r="AG63" s="58"/>
      <c r="AH63" s="58"/>
    </row>
    <row r="64" spans="1:34" x14ac:dyDescent="0.25">
      <c r="A64" s="55">
        <v>63</v>
      </c>
      <c r="B64" s="55" t="s">
        <v>214</v>
      </c>
      <c r="C64" s="56" t="s">
        <v>518</v>
      </c>
      <c r="D64" s="128"/>
      <c r="E64" s="128"/>
      <c r="F64" s="128"/>
      <c r="G64" s="128"/>
      <c r="H64" s="126"/>
      <c r="I64" s="126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>
        <v>37243.444000000003</v>
      </c>
      <c r="V64" s="124"/>
      <c r="W64" s="124"/>
      <c r="X64" s="124"/>
      <c r="Y64" s="124"/>
      <c r="Z64" s="124"/>
      <c r="AA64" s="124"/>
      <c r="AB64" s="122">
        <f t="shared" si="1"/>
        <v>0</v>
      </c>
      <c r="AC64" s="122">
        <f t="shared" si="1"/>
        <v>37243.444000000003</v>
      </c>
      <c r="AD64" s="123"/>
      <c r="AE64" s="123"/>
      <c r="AF64" s="123"/>
      <c r="AG64" s="58"/>
      <c r="AH64" s="58">
        <v>5328</v>
      </c>
    </row>
    <row r="65" spans="1:34" ht="15.75" x14ac:dyDescent="0.25">
      <c r="A65" s="55">
        <v>64</v>
      </c>
      <c r="B65" s="55"/>
      <c r="C65" s="63" t="s">
        <v>253</v>
      </c>
      <c r="D65" s="122">
        <f>SUM(D5:D64)</f>
        <v>124278</v>
      </c>
      <c r="E65" s="122">
        <f t="shared" ref="E65:AD65" si="2">SUM(E5:E64)</f>
        <v>143679.07199999999</v>
      </c>
      <c r="F65" s="122">
        <f t="shared" si="2"/>
        <v>17867.8</v>
      </c>
      <c r="G65" s="122">
        <f t="shared" si="2"/>
        <v>21654.338</v>
      </c>
      <c r="H65" s="122">
        <f t="shared" si="2"/>
        <v>161053.70000000001</v>
      </c>
      <c r="I65" s="122">
        <f t="shared" si="2"/>
        <v>166260.71</v>
      </c>
      <c r="J65" s="122">
        <f t="shared" si="2"/>
        <v>5400</v>
      </c>
      <c r="K65" s="122">
        <f t="shared" si="2"/>
        <v>9047.83</v>
      </c>
      <c r="L65" s="122">
        <f t="shared" si="2"/>
        <v>26992.1</v>
      </c>
      <c r="M65" s="122">
        <f t="shared" si="2"/>
        <v>30082.1</v>
      </c>
      <c r="N65" s="122">
        <f t="shared" si="2"/>
        <v>7378</v>
      </c>
      <c r="O65" s="122">
        <f t="shared" si="2"/>
        <v>7378</v>
      </c>
      <c r="P65" s="122">
        <f t="shared" si="2"/>
        <v>0</v>
      </c>
      <c r="Q65" s="122">
        <f t="shared" si="2"/>
        <v>0</v>
      </c>
      <c r="R65" s="122">
        <f t="shared" si="2"/>
        <v>0</v>
      </c>
      <c r="S65" s="122">
        <f t="shared" si="2"/>
        <v>0</v>
      </c>
      <c r="T65" s="122">
        <f t="shared" si="2"/>
        <v>622181</v>
      </c>
      <c r="U65" s="122">
        <f t="shared" si="2"/>
        <v>650187.11</v>
      </c>
      <c r="V65" s="122">
        <f t="shared" si="2"/>
        <v>22643</v>
      </c>
      <c r="W65" s="122">
        <f t="shared" si="2"/>
        <v>26870.351999999999</v>
      </c>
      <c r="X65" s="122">
        <f t="shared" si="2"/>
        <v>26106.298999999999</v>
      </c>
      <c r="Y65" s="122">
        <f t="shared" si="2"/>
        <v>21600.510999999999</v>
      </c>
      <c r="Z65" s="122">
        <f t="shared" si="2"/>
        <v>10927.733</v>
      </c>
      <c r="AA65" s="122">
        <f t="shared" si="2"/>
        <v>10927.733</v>
      </c>
      <c r="AB65" s="122">
        <f t="shared" si="2"/>
        <v>1024827.6319999999</v>
      </c>
      <c r="AC65" s="122">
        <f t="shared" si="2"/>
        <v>1087687.7559999998</v>
      </c>
      <c r="AD65" s="122">
        <f t="shared" si="2"/>
        <v>0</v>
      </c>
      <c r="AE65" s="122"/>
      <c r="AF65" s="122"/>
      <c r="AG65" s="57"/>
      <c r="AH65" s="57"/>
    </row>
    <row r="66" spans="1:34" ht="15.75" x14ac:dyDescent="0.25">
      <c r="A66" s="55">
        <v>65</v>
      </c>
      <c r="B66" s="55"/>
      <c r="C66" s="63" t="s">
        <v>361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51"/>
      <c r="AH66" s="151"/>
    </row>
    <row r="67" spans="1:34" ht="15.75" x14ac:dyDescent="0.25">
      <c r="A67" s="55">
        <v>66</v>
      </c>
      <c r="B67" s="60"/>
      <c r="C67" s="157" t="s">
        <v>362</v>
      </c>
      <c r="D67" s="156">
        <v>1</v>
      </c>
      <c r="E67" s="156">
        <v>1</v>
      </c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5"/>
      <c r="AH67" s="155"/>
    </row>
    <row r="68" spans="1:34" ht="15.75" x14ac:dyDescent="0.25">
      <c r="A68" s="55">
        <v>67</v>
      </c>
      <c r="B68" s="60"/>
      <c r="C68" s="157" t="s">
        <v>363</v>
      </c>
      <c r="D68" s="156">
        <v>6</v>
      </c>
      <c r="E68" s="156">
        <v>6</v>
      </c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5"/>
      <c r="AH68" s="155"/>
    </row>
    <row r="69" spans="1:34" ht="15.75" x14ac:dyDescent="0.25">
      <c r="A69" s="55">
        <v>68</v>
      </c>
      <c r="B69" s="60"/>
      <c r="C69" s="157" t="s">
        <v>364</v>
      </c>
      <c r="D69" s="156">
        <v>2</v>
      </c>
      <c r="E69" s="156">
        <v>2</v>
      </c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5"/>
      <c r="AH69" s="155"/>
    </row>
    <row r="70" spans="1:34" ht="15.75" x14ac:dyDescent="0.25">
      <c r="A70" s="55">
        <v>69</v>
      </c>
      <c r="B70" s="60"/>
      <c r="C70" s="157" t="s">
        <v>365</v>
      </c>
      <c r="D70" s="156">
        <v>60</v>
      </c>
      <c r="E70" s="156">
        <v>60</v>
      </c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5"/>
      <c r="AH70" s="155"/>
    </row>
    <row r="71" spans="1:34" s="71" customFormat="1" ht="15.75" x14ac:dyDescent="0.25">
      <c r="A71" s="55">
        <v>70</v>
      </c>
      <c r="B71" s="152"/>
      <c r="C71" s="158" t="s">
        <v>195</v>
      </c>
      <c r="D71" s="159">
        <f>SUM(D67:D70)</f>
        <v>69</v>
      </c>
      <c r="E71" s="159">
        <f>SUM(E67:E70)</f>
        <v>69</v>
      </c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51"/>
      <c r="AH71" s="151"/>
    </row>
    <row r="72" spans="1:34" ht="15.75" x14ac:dyDescent="0.25">
      <c r="A72" s="55">
        <v>71</v>
      </c>
      <c r="B72" s="60"/>
      <c r="C72" s="153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5"/>
      <c r="AH72" s="155"/>
    </row>
    <row r="73" spans="1:34" x14ac:dyDescent="0.25">
      <c r="A73" s="55">
        <v>72</v>
      </c>
      <c r="B73" s="55"/>
      <c r="C73" s="67" t="s">
        <v>239</v>
      </c>
      <c r="D73" s="127">
        <f t="shared" ref="D73:AC73" si="3">SUMIF($B5:$B64,"kötelező",D5:D64)</f>
        <v>102010</v>
      </c>
      <c r="E73" s="127">
        <f t="shared" si="3"/>
        <v>103751.072</v>
      </c>
      <c r="F73" s="127">
        <f t="shared" si="3"/>
        <v>12407.8</v>
      </c>
      <c r="G73" s="127">
        <f t="shared" si="3"/>
        <v>12749.838</v>
      </c>
      <c r="H73" s="127">
        <f t="shared" si="3"/>
        <v>93573.7</v>
      </c>
      <c r="I73" s="127">
        <f t="shared" si="3"/>
        <v>94518.359999999986</v>
      </c>
      <c r="J73" s="127">
        <f t="shared" si="3"/>
        <v>2000</v>
      </c>
      <c r="K73" s="127">
        <f t="shared" si="3"/>
        <v>2707.7799999999997</v>
      </c>
      <c r="L73" s="127">
        <f t="shared" si="3"/>
        <v>22742.1</v>
      </c>
      <c r="M73" s="127">
        <f t="shared" si="3"/>
        <v>25262.1</v>
      </c>
      <c r="N73" s="127">
        <f t="shared" si="3"/>
        <v>5903</v>
      </c>
      <c r="O73" s="127">
        <f t="shared" si="3"/>
        <v>5903</v>
      </c>
      <c r="P73" s="127">
        <f t="shared" si="3"/>
        <v>0</v>
      </c>
      <c r="Q73" s="127">
        <f t="shared" si="3"/>
        <v>0</v>
      </c>
      <c r="R73" s="127">
        <f t="shared" si="3"/>
        <v>0</v>
      </c>
      <c r="S73" s="127">
        <f t="shared" si="3"/>
        <v>0</v>
      </c>
      <c r="T73" s="127">
        <f t="shared" si="3"/>
        <v>15259</v>
      </c>
      <c r="U73" s="127">
        <f t="shared" si="3"/>
        <v>15509</v>
      </c>
      <c r="V73" s="127">
        <f t="shared" si="3"/>
        <v>22643</v>
      </c>
      <c r="W73" s="127">
        <f t="shared" si="3"/>
        <v>26870.351999999999</v>
      </c>
      <c r="X73" s="127">
        <f t="shared" si="3"/>
        <v>0</v>
      </c>
      <c r="Y73" s="127">
        <f t="shared" si="3"/>
        <v>0</v>
      </c>
      <c r="Z73" s="127">
        <f t="shared" si="3"/>
        <v>10927.733</v>
      </c>
      <c r="AA73" s="127">
        <f t="shared" si="3"/>
        <v>10927.733</v>
      </c>
      <c r="AB73" s="127">
        <f t="shared" si="3"/>
        <v>287466.33299999998</v>
      </c>
      <c r="AC73" s="127">
        <f t="shared" si="3"/>
        <v>298199.23499999999</v>
      </c>
      <c r="AD73" s="123"/>
      <c r="AE73" s="123"/>
      <c r="AF73" s="123"/>
      <c r="AG73" s="68"/>
      <c r="AH73" s="68"/>
    </row>
    <row r="74" spans="1:34" x14ac:dyDescent="0.25">
      <c r="A74" s="55">
        <v>73</v>
      </c>
      <c r="B74" s="55"/>
      <c r="C74" s="67" t="s">
        <v>240</v>
      </c>
      <c r="D74" s="127">
        <f t="shared" ref="D74:AD74" si="4">SUMIF($B5:$B64,"nem kötelező",D5:D64)</f>
        <v>22268</v>
      </c>
      <c r="E74" s="127">
        <f t="shared" si="4"/>
        <v>39928</v>
      </c>
      <c r="F74" s="127">
        <f t="shared" si="4"/>
        <v>5460</v>
      </c>
      <c r="G74" s="127">
        <f t="shared" si="4"/>
        <v>8904.5</v>
      </c>
      <c r="H74" s="127">
        <f t="shared" si="4"/>
        <v>67480</v>
      </c>
      <c r="I74" s="127">
        <f t="shared" si="4"/>
        <v>71742.350000000006</v>
      </c>
      <c r="J74" s="127">
        <f t="shared" si="4"/>
        <v>3400</v>
      </c>
      <c r="K74" s="127">
        <f t="shared" si="4"/>
        <v>6340.05</v>
      </c>
      <c r="L74" s="127">
        <f t="shared" si="4"/>
        <v>4250</v>
      </c>
      <c r="M74" s="127">
        <f t="shared" si="4"/>
        <v>4820</v>
      </c>
      <c r="N74" s="127">
        <f t="shared" si="4"/>
        <v>1475</v>
      </c>
      <c r="O74" s="127">
        <f t="shared" si="4"/>
        <v>1475</v>
      </c>
      <c r="P74" s="127">
        <f t="shared" si="4"/>
        <v>0</v>
      </c>
      <c r="Q74" s="127">
        <f t="shared" si="4"/>
        <v>0</v>
      </c>
      <c r="R74" s="127">
        <f t="shared" si="4"/>
        <v>0</v>
      </c>
      <c r="S74" s="127">
        <f t="shared" si="4"/>
        <v>0</v>
      </c>
      <c r="T74" s="127">
        <f t="shared" si="4"/>
        <v>606922</v>
      </c>
      <c r="U74" s="127">
        <f t="shared" si="4"/>
        <v>634678.11</v>
      </c>
      <c r="V74" s="127">
        <f t="shared" si="4"/>
        <v>0</v>
      </c>
      <c r="W74" s="127">
        <f t="shared" si="4"/>
        <v>0</v>
      </c>
      <c r="X74" s="127">
        <f t="shared" si="4"/>
        <v>26106.298999999999</v>
      </c>
      <c r="Y74" s="127">
        <f t="shared" si="4"/>
        <v>21600.510999999999</v>
      </c>
      <c r="Z74" s="127">
        <f t="shared" si="4"/>
        <v>0</v>
      </c>
      <c r="AA74" s="127">
        <f t="shared" si="4"/>
        <v>0</v>
      </c>
      <c r="AB74" s="127">
        <f t="shared" si="4"/>
        <v>737361.299</v>
      </c>
      <c r="AC74" s="127">
        <f t="shared" si="4"/>
        <v>789488.52099999995</v>
      </c>
      <c r="AD74" s="127">
        <f t="shared" si="4"/>
        <v>0</v>
      </c>
      <c r="AE74" s="127"/>
      <c r="AF74" s="123"/>
      <c r="AG74" s="68"/>
      <c r="AH74" s="68"/>
    </row>
    <row r="75" spans="1:34" s="71" customFormat="1" x14ac:dyDescent="0.25">
      <c r="A75" s="55">
        <v>74</v>
      </c>
      <c r="B75" s="69"/>
      <c r="C75" s="70" t="s">
        <v>323</v>
      </c>
      <c r="D75" s="129">
        <f>SUM(D76:D77)</f>
        <v>58457</v>
      </c>
      <c r="E75" s="129">
        <f>SUM(E76:E77)</f>
        <v>59837.4</v>
      </c>
      <c r="F75" s="129">
        <f t="shared" ref="F75:AE75" si="5">SUM(F76:F77)</f>
        <v>11630</v>
      </c>
      <c r="G75" s="129">
        <f t="shared" si="5"/>
        <v>11896.075999999999</v>
      </c>
      <c r="H75" s="129">
        <f t="shared" si="5"/>
        <v>10495</v>
      </c>
      <c r="I75" s="129">
        <f t="shared" si="5"/>
        <v>10568.824000000001</v>
      </c>
      <c r="J75" s="129">
        <f t="shared" si="5"/>
        <v>0</v>
      </c>
      <c r="K75" s="129">
        <f t="shared" si="5"/>
        <v>0</v>
      </c>
      <c r="L75" s="129">
        <f t="shared" si="5"/>
        <v>0</v>
      </c>
      <c r="M75" s="129">
        <f t="shared" si="5"/>
        <v>0</v>
      </c>
      <c r="N75" s="129">
        <f t="shared" si="5"/>
        <v>0</v>
      </c>
      <c r="O75" s="129">
        <f t="shared" si="5"/>
        <v>0</v>
      </c>
      <c r="P75" s="129">
        <f t="shared" si="5"/>
        <v>0</v>
      </c>
      <c r="Q75" s="129">
        <f t="shared" si="5"/>
        <v>0</v>
      </c>
      <c r="R75" s="129">
        <v>0</v>
      </c>
      <c r="S75" s="129">
        <v>0</v>
      </c>
      <c r="T75" s="129">
        <f t="shared" si="5"/>
        <v>127</v>
      </c>
      <c r="U75" s="129">
        <f t="shared" si="5"/>
        <v>170</v>
      </c>
      <c r="V75" s="129">
        <f t="shared" si="5"/>
        <v>0</v>
      </c>
      <c r="W75" s="129"/>
      <c r="X75" s="129">
        <f t="shared" si="5"/>
        <v>0</v>
      </c>
      <c r="Y75" s="129"/>
      <c r="Z75" s="129">
        <f t="shared" si="5"/>
        <v>0</v>
      </c>
      <c r="AA75" s="129"/>
      <c r="AB75" s="129">
        <f>SUM(AB76:AB77)</f>
        <v>80709</v>
      </c>
      <c r="AC75" s="129">
        <f>SUM(AC76:AC77)</f>
        <v>82472.3</v>
      </c>
      <c r="AD75" s="129">
        <f t="shared" si="5"/>
        <v>80370.899999999994</v>
      </c>
      <c r="AE75" s="129">
        <f t="shared" si="5"/>
        <v>80609.136999999988</v>
      </c>
      <c r="AF75" s="123"/>
      <c r="AG75" s="68"/>
      <c r="AH75" s="68"/>
    </row>
    <row r="76" spans="1:34" x14ac:dyDescent="0.25">
      <c r="A76" s="55">
        <v>75</v>
      </c>
      <c r="B76" s="55" t="s">
        <v>210</v>
      </c>
      <c r="C76" s="72" t="s">
        <v>239</v>
      </c>
      <c r="D76" s="124">
        <v>52457</v>
      </c>
      <c r="E76" s="124">
        <v>53837.4</v>
      </c>
      <c r="F76" s="124">
        <v>10460</v>
      </c>
      <c r="G76" s="124">
        <v>10726.075999999999</v>
      </c>
      <c r="H76" s="124">
        <v>10495</v>
      </c>
      <c r="I76" s="124">
        <v>10568.824000000001</v>
      </c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>
        <v>127</v>
      </c>
      <c r="U76" s="124">
        <v>170</v>
      </c>
      <c r="V76" s="124"/>
      <c r="W76" s="124"/>
      <c r="X76" s="124"/>
      <c r="Y76" s="124"/>
      <c r="Z76" s="124"/>
      <c r="AA76" s="124"/>
      <c r="AB76" s="124">
        <f>D76+F76+H76+J76+L76+N76+P76+R76+T76+V76+X76+Z76</f>
        <v>73539</v>
      </c>
      <c r="AC76" s="124">
        <f>E76+G76+I76+K76+M76+O76+Q76+S76+U76+W76+Y76+AA76</f>
        <v>75302.3</v>
      </c>
      <c r="AD76" s="130">
        <v>73200.899999999994</v>
      </c>
      <c r="AE76" s="130">
        <f>73430.9+8.237</f>
        <v>73439.136999999988</v>
      </c>
      <c r="AF76" s="130"/>
      <c r="AG76" s="73"/>
      <c r="AH76" s="73"/>
    </row>
    <row r="77" spans="1:34" x14ac:dyDescent="0.25">
      <c r="A77" s="55">
        <v>76</v>
      </c>
      <c r="B77" s="55" t="s">
        <v>314</v>
      </c>
      <c r="C77" s="72" t="s">
        <v>313</v>
      </c>
      <c r="D77" s="124">
        <v>6000</v>
      </c>
      <c r="E77" s="124">
        <v>6000</v>
      </c>
      <c r="F77" s="124">
        <v>1170</v>
      </c>
      <c r="G77" s="124">
        <v>1170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>
        <f>D77+F77+H77+J77+L77+N77+P77+R77+T77+V77+X77+Z77</f>
        <v>7170</v>
      </c>
      <c r="AC77" s="124">
        <f>E77+G77+I77+K77+M77+O77+Q77+S77+U77+W77+Y77+AA77</f>
        <v>7170</v>
      </c>
      <c r="AD77" s="130">
        <v>7170</v>
      </c>
      <c r="AE77" s="130">
        <v>7170</v>
      </c>
      <c r="AF77" s="130"/>
      <c r="AG77" s="73"/>
      <c r="AH77" s="73"/>
    </row>
    <row r="78" spans="1:34" s="71" customFormat="1" x14ac:dyDescent="0.25">
      <c r="A78" s="55">
        <v>77</v>
      </c>
      <c r="B78" s="69"/>
      <c r="C78" s="70" t="s">
        <v>241</v>
      </c>
      <c r="D78" s="129">
        <f>SUM(D79:D80)</f>
        <v>76226</v>
      </c>
      <c r="E78" s="129">
        <f>SUM(E79:E80)</f>
        <v>76563.600000000006</v>
      </c>
      <c r="F78" s="129">
        <f t="shared" ref="F78:AE78" si="6">SUM(F79:F80)</f>
        <v>14952</v>
      </c>
      <c r="G78" s="129">
        <f t="shared" si="6"/>
        <v>15015.057000000001</v>
      </c>
      <c r="H78" s="129">
        <f t="shared" si="6"/>
        <v>6263</v>
      </c>
      <c r="I78" s="129">
        <f t="shared" si="6"/>
        <v>6219</v>
      </c>
      <c r="J78" s="129">
        <f t="shared" si="6"/>
        <v>0</v>
      </c>
      <c r="K78" s="129">
        <f t="shared" si="6"/>
        <v>0</v>
      </c>
      <c r="L78" s="129">
        <f t="shared" si="6"/>
        <v>0</v>
      </c>
      <c r="M78" s="129">
        <f t="shared" si="6"/>
        <v>0</v>
      </c>
      <c r="N78" s="129">
        <f t="shared" si="6"/>
        <v>0</v>
      </c>
      <c r="O78" s="129">
        <f t="shared" si="6"/>
        <v>0</v>
      </c>
      <c r="P78" s="129">
        <f t="shared" si="6"/>
        <v>0</v>
      </c>
      <c r="Q78" s="129">
        <f t="shared" si="6"/>
        <v>0</v>
      </c>
      <c r="R78" s="129">
        <f t="shared" si="6"/>
        <v>0</v>
      </c>
      <c r="S78" s="129">
        <f t="shared" si="6"/>
        <v>0</v>
      </c>
      <c r="T78" s="129">
        <f t="shared" si="6"/>
        <v>127</v>
      </c>
      <c r="U78" s="129">
        <f t="shared" si="6"/>
        <v>227</v>
      </c>
      <c r="V78" s="129">
        <f t="shared" si="6"/>
        <v>0</v>
      </c>
      <c r="W78" s="129">
        <f t="shared" si="6"/>
        <v>0</v>
      </c>
      <c r="X78" s="129">
        <f t="shared" si="6"/>
        <v>0</v>
      </c>
      <c r="Y78" s="129">
        <f t="shared" si="6"/>
        <v>0</v>
      </c>
      <c r="Z78" s="129">
        <f t="shared" si="6"/>
        <v>0</v>
      </c>
      <c r="AA78" s="129">
        <f t="shared" si="6"/>
        <v>0</v>
      </c>
      <c r="AB78" s="129">
        <f t="shared" si="6"/>
        <v>97568</v>
      </c>
      <c r="AC78" s="129">
        <f t="shared" si="6"/>
        <v>98024.657000000007</v>
      </c>
      <c r="AD78" s="129">
        <f t="shared" si="6"/>
        <v>97262.9</v>
      </c>
      <c r="AE78" s="129">
        <f t="shared" si="6"/>
        <v>97719.557000000001</v>
      </c>
      <c r="AF78" s="123"/>
      <c r="AG78" s="68"/>
      <c r="AH78" s="68"/>
    </row>
    <row r="79" spans="1:34" x14ac:dyDescent="0.25">
      <c r="A79" s="55">
        <v>78</v>
      </c>
      <c r="B79" s="55" t="s">
        <v>210</v>
      </c>
      <c r="C79" s="72" t="s">
        <v>239</v>
      </c>
      <c r="D79" s="124">
        <v>76101</v>
      </c>
      <c r="E79" s="124">
        <v>76438.600000000006</v>
      </c>
      <c r="F79" s="124">
        <v>14932</v>
      </c>
      <c r="G79" s="124">
        <v>14995.057000000001</v>
      </c>
      <c r="H79" s="124">
        <v>6238</v>
      </c>
      <c r="I79" s="124">
        <v>6194</v>
      </c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>
        <v>127</v>
      </c>
      <c r="U79" s="124">
        <v>227</v>
      </c>
      <c r="V79" s="124"/>
      <c r="W79" s="124"/>
      <c r="X79" s="124"/>
      <c r="Y79" s="124"/>
      <c r="Z79" s="124"/>
      <c r="AA79" s="124"/>
      <c r="AB79" s="124">
        <f>D79+F79+H79+J79+L79+N79+P79+R79+T79+V79+X79+Z79</f>
        <v>97398</v>
      </c>
      <c r="AC79" s="124">
        <f>E79+G79+I79+K79+M79+O79+Q79+S79+U79+W79+Y79+AA79</f>
        <v>97854.657000000007</v>
      </c>
      <c r="AD79" s="130">
        <v>97092.9</v>
      </c>
      <c r="AE79" s="130">
        <f>97515.3+34.257</f>
        <v>97549.557000000001</v>
      </c>
      <c r="AF79" s="130"/>
      <c r="AG79" s="73"/>
      <c r="AH79" s="73"/>
    </row>
    <row r="80" spans="1:34" x14ac:dyDescent="0.25">
      <c r="A80" s="55">
        <v>79</v>
      </c>
      <c r="B80" s="55" t="s">
        <v>214</v>
      </c>
      <c r="C80" s="72" t="s">
        <v>240</v>
      </c>
      <c r="D80" s="124">
        <v>125</v>
      </c>
      <c r="E80" s="124">
        <v>125</v>
      </c>
      <c r="F80" s="124">
        <v>20</v>
      </c>
      <c r="G80" s="124">
        <v>20</v>
      </c>
      <c r="H80" s="124">
        <v>25</v>
      </c>
      <c r="I80" s="124">
        <v>25</v>
      </c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>
        <f>D80+F80+H80+J80+L80+N80+P80+R80+T80+V80+X80+Z80</f>
        <v>170</v>
      </c>
      <c r="AC80" s="124">
        <f>E80+G80+I80+K80+M80+O80+Q80+S80+U80+W80+Y80+AA80</f>
        <v>170</v>
      </c>
      <c r="AD80" s="130">
        <v>170</v>
      </c>
      <c r="AE80" s="130">
        <v>170</v>
      </c>
      <c r="AF80" s="130"/>
      <c r="AG80" s="73"/>
      <c r="AH80" s="73"/>
    </row>
    <row r="81" spans="1:35" s="71" customFormat="1" x14ac:dyDescent="0.25">
      <c r="A81" s="55">
        <v>80</v>
      </c>
      <c r="B81" s="69"/>
      <c r="C81" s="70" t="s">
        <v>242</v>
      </c>
      <c r="D81" s="129">
        <f>SUM(D82:D83)</f>
        <v>81168</v>
      </c>
      <c r="E81" s="129">
        <f>SUM(E82:E83)</f>
        <v>92683</v>
      </c>
      <c r="F81" s="129">
        <f t="shared" ref="F81:AE81" si="7">SUM(F82:F83)</f>
        <v>15783</v>
      </c>
      <c r="G81" s="129">
        <f t="shared" si="7"/>
        <v>18030.826000000001</v>
      </c>
      <c r="H81" s="129">
        <f t="shared" si="7"/>
        <v>46957</v>
      </c>
      <c r="I81" s="129">
        <f t="shared" si="7"/>
        <v>46957</v>
      </c>
      <c r="J81" s="129">
        <f t="shared" si="7"/>
        <v>0</v>
      </c>
      <c r="K81" s="129">
        <f t="shared" si="7"/>
        <v>0</v>
      </c>
      <c r="L81" s="129">
        <f t="shared" si="7"/>
        <v>120</v>
      </c>
      <c r="M81" s="129">
        <f t="shared" si="7"/>
        <v>120</v>
      </c>
      <c r="N81" s="129">
        <f t="shared" si="7"/>
        <v>0</v>
      </c>
      <c r="O81" s="129">
        <f t="shared" si="7"/>
        <v>0</v>
      </c>
      <c r="P81" s="129">
        <f t="shared" si="7"/>
        <v>0</v>
      </c>
      <c r="Q81" s="129">
        <f t="shared" si="7"/>
        <v>0</v>
      </c>
      <c r="R81" s="129">
        <v>0</v>
      </c>
      <c r="S81" s="129">
        <v>0</v>
      </c>
      <c r="T81" s="129">
        <f t="shared" si="7"/>
        <v>127</v>
      </c>
      <c r="U81" s="129">
        <f t="shared" si="7"/>
        <v>397</v>
      </c>
      <c r="V81" s="129">
        <f t="shared" si="7"/>
        <v>0</v>
      </c>
      <c r="W81" s="129">
        <f t="shared" si="7"/>
        <v>0</v>
      </c>
      <c r="X81" s="129">
        <f t="shared" si="7"/>
        <v>0</v>
      </c>
      <c r="Y81" s="129">
        <f t="shared" si="7"/>
        <v>0</v>
      </c>
      <c r="Z81" s="129">
        <f t="shared" si="7"/>
        <v>0</v>
      </c>
      <c r="AA81" s="129">
        <f t="shared" si="7"/>
        <v>0</v>
      </c>
      <c r="AB81" s="129">
        <f t="shared" si="7"/>
        <v>144155</v>
      </c>
      <c r="AC81" s="129">
        <f t="shared" si="7"/>
        <v>158187.826</v>
      </c>
      <c r="AD81" s="129">
        <f t="shared" si="7"/>
        <v>110751</v>
      </c>
      <c r="AE81" s="129">
        <f t="shared" si="7"/>
        <v>124300.327</v>
      </c>
      <c r="AF81" s="123"/>
      <c r="AG81" s="68"/>
      <c r="AH81" s="68"/>
    </row>
    <row r="82" spans="1:35" x14ac:dyDescent="0.25">
      <c r="A82" s="55">
        <v>81</v>
      </c>
      <c r="B82" s="55" t="s">
        <v>210</v>
      </c>
      <c r="C82" s="72" t="s">
        <v>239</v>
      </c>
      <c r="D82" s="124">
        <v>31290</v>
      </c>
      <c r="E82" s="124">
        <v>37046.400000000001</v>
      </c>
      <c r="F82" s="124">
        <v>6095</v>
      </c>
      <c r="G82" s="124">
        <v>7220.1270000000004</v>
      </c>
      <c r="H82" s="124">
        <v>14365</v>
      </c>
      <c r="I82" s="124">
        <v>14365</v>
      </c>
      <c r="J82" s="124"/>
      <c r="K82" s="124"/>
      <c r="L82" s="124">
        <v>120</v>
      </c>
      <c r="M82" s="124">
        <v>120</v>
      </c>
      <c r="N82" s="124"/>
      <c r="O82" s="124"/>
      <c r="P82" s="124"/>
      <c r="Q82" s="124"/>
      <c r="R82" s="124"/>
      <c r="S82" s="124"/>
      <c r="T82" s="124">
        <v>127</v>
      </c>
      <c r="U82" s="124">
        <v>60</v>
      </c>
      <c r="V82" s="124"/>
      <c r="W82" s="124"/>
      <c r="X82" s="124"/>
      <c r="Y82" s="124"/>
      <c r="Z82" s="124"/>
      <c r="AA82" s="124"/>
      <c r="AB82" s="124">
        <f>D82+F82+H82+J82+L82+N82+P82+R82+T82+V82+X82+Z82</f>
        <v>51997</v>
      </c>
      <c r="AC82" s="124">
        <f>E82+G82+I82+K82+M82+O82+Q82+S82+U82+W82+Y82+AA82</f>
        <v>58811.527000000002</v>
      </c>
      <c r="AD82" s="130">
        <v>47013</v>
      </c>
      <c r="AE82" s="288">
        <f>53655+239.527+60</f>
        <v>53954.527000000002</v>
      </c>
      <c r="AF82" s="130"/>
      <c r="AG82" s="73"/>
      <c r="AH82" s="73"/>
    </row>
    <row r="83" spans="1:35" x14ac:dyDescent="0.25">
      <c r="A83" s="55">
        <v>82</v>
      </c>
      <c r="B83" s="55" t="s">
        <v>214</v>
      </c>
      <c r="C83" s="72" t="s">
        <v>240</v>
      </c>
      <c r="D83" s="124">
        <v>49878</v>
      </c>
      <c r="E83" s="124">
        <v>55636.6</v>
      </c>
      <c r="F83" s="124">
        <v>9688</v>
      </c>
      <c r="G83" s="124">
        <v>10810.699000000001</v>
      </c>
      <c r="H83" s="124">
        <v>32592</v>
      </c>
      <c r="I83" s="124">
        <v>32592</v>
      </c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>
        <v>337</v>
      </c>
      <c r="V83" s="124"/>
      <c r="W83" s="124"/>
      <c r="X83" s="124"/>
      <c r="Y83" s="124"/>
      <c r="Z83" s="124"/>
      <c r="AA83" s="124"/>
      <c r="AB83" s="124">
        <f>D83+F83+H83+J83+L83+N83+P83+R83+T83+V83+X83+Z83</f>
        <v>92158</v>
      </c>
      <c r="AC83" s="124">
        <f>E83+G83+I83+K83+M83+O83+Q83+S83+U83+W83+Y83+AA83</f>
        <v>99376.298999999999</v>
      </c>
      <c r="AD83" s="130">
        <v>63738</v>
      </c>
      <c r="AE83" s="288">
        <f>70135.8+210</f>
        <v>70345.8</v>
      </c>
      <c r="AF83" s="130"/>
      <c r="AG83" s="73"/>
      <c r="AH83" s="73"/>
    </row>
    <row r="84" spans="1:35" s="71" customFormat="1" x14ac:dyDescent="0.25">
      <c r="A84" s="55">
        <v>83</v>
      </c>
      <c r="B84" s="69"/>
      <c r="C84" s="70" t="s">
        <v>351</v>
      </c>
      <c r="D84" s="129">
        <f>SUM(D85:D86)</f>
        <v>11450</v>
      </c>
      <c r="E84" s="129">
        <f>SUM(E85:E86)</f>
        <v>15787.182000000001</v>
      </c>
      <c r="F84" s="129">
        <f t="shared" ref="F84:AE84" si="8">SUM(F85:F86)</f>
        <v>2311</v>
      </c>
      <c r="G84" s="129">
        <f t="shared" si="8"/>
        <v>2658.7550000000001</v>
      </c>
      <c r="H84" s="129">
        <f t="shared" si="8"/>
        <v>32367</v>
      </c>
      <c r="I84" s="129">
        <f t="shared" si="8"/>
        <v>32461.203999999998</v>
      </c>
      <c r="J84" s="129">
        <f t="shared" si="8"/>
        <v>0</v>
      </c>
      <c r="K84" s="129">
        <f t="shared" si="8"/>
        <v>0</v>
      </c>
      <c r="L84" s="129">
        <f t="shared" si="8"/>
        <v>0</v>
      </c>
      <c r="M84" s="129">
        <f t="shared" si="8"/>
        <v>0</v>
      </c>
      <c r="N84" s="129">
        <f t="shared" si="8"/>
        <v>0</v>
      </c>
      <c r="O84" s="129">
        <f t="shared" si="8"/>
        <v>0</v>
      </c>
      <c r="P84" s="129">
        <f t="shared" si="8"/>
        <v>0</v>
      </c>
      <c r="Q84" s="129">
        <f t="shared" si="8"/>
        <v>0</v>
      </c>
      <c r="R84" s="129">
        <f t="shared" si="8"/>
        <v>0</v>
      </c>
      <c r="S84" s="129">
        <f t="shared" si="8"/>
        <v>0</v>
      </c>
      <c r="T84" s="129">
        <f t="shared" si="8"/>
        <v>127</v>
      </c>
      <c r="U84" s="129">
        <f t="shared" si="8"/>
        <v>227</v>
      </c>
      <c r="V84" s="129">
        <f t="shared" si="8"/>
        <v>0</v>
      </c>
      <c r="W84" s="129">
        <f t="shared" si="8"/>
        <v>0</v>
      </c>
      <c r="X84" s="129">
        <f t="shared" si="8"/>
        <v>0</v>
      </c>
      <c r="Y84" s="129">
        <f t="shared" si="8"/>
        <v>0</v>
      </c>
      <c r="Z84" s="129">
        <f t="shared" si="8"/>
        <v>0</v>
      </c>
      <c r="AA84" s="129">
        <f t="shared" si="8"/>
        <v>0</v>
      </c>
      <c r="AB84" s="129">
        <f t="shared" si="8"/>
        <v>46255</v>
      </c>
      <c r="AC84" s="129">
        <f t="shared" si="8"/>
        <v>51134.141000000003</v>
      </c>
      <c r="AD84" s="129">
        <f t="shared" si="8"/>
        <v>23647.9</v>
      </c>
      <c r="AE84" s="129">
        <f t="shared" si="8"/>
        <v>24627.816999999999</v>
      </c>
      <c r="AF84" s="129"/>
      <c r="AG84" s="68"/>
      <c r="AH84" s="68"/>
    </row>
    <row r="85" spans="1:35" x14ac:dyDescent="0.25">
      <c r="A85" s="55">
        <v>84</v>
      </c>
      <c r="B85" s="55" t="s">
        <v>210</v>
      </c>
      <c r="C85" s="72" t="s">
        <v>239</v>
      </c>
      <c r="D85" s="124">
        <v>9919</v>
      </c>
      <c r="E85" s="124">
        <v>12018.53</v>
      </c>
      <c r="F85" s="124">
        <v>1784</v>
      </c>
      <c r="G85" s="124">
        <v>1913.5830000000001</v>
      </c>
      <c r="H85" s="124">
        <v>4268</v>
      </c>
      <c r="I85" s="124">
        <v>4362.2039999999997</v>
      </c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>
        <v>127</v>
      </c>
      <c r="U85" s="124">
        <v>227</v>
      </c>
      <c r="V85" s="124"/>
      <c r="W85" s="124"/>
      <c r="X85" s="124"/>
      <c r="Y85" s="124"/>
      <c r="Z85" s="124"/>
      <c r="AA85" s="124"/>
      <c r="AB85" s="124">
        <f>D85+F85+H85+J85+L85+N85+P85+R85+T85+V85+X85+Z85</f>
        <v>16098</v>
      </c>
      <c r="AC85" s="124">
        <f>E85+G85+I85+K85+M85+O85+Q85+S85+U85+W85+Y85+AA85</f>
        <v>18521.317000000003</v>
      </c>
      <c r="AD85" s="130">
        <v>12763.9</v>
      </c>
      <c r="AE85" s="130">
        <f>13743.817</f>
        <v>13743.816999999999</v>
      </c>
      <c r="AF85" s="130"/>
      <c r="AG85" s="73"/>
      <c r="AH85" s="73"/>
    </row>
    <row r="86" spans="1:35" x14ac:dyDescent="0.25">
      <c r="A86" s="55">
        <v>85</v>
      </c>
      <c r="B86" s="55" t="s">
        <v>214</v>
      </c>
      <c r="C86" s="72" t="s">
        <v>240</v>
      </c>
      <c r="D86" s="124">
        <v>1531</v>
      </c>
      <c r="E86" s="124">
        <v>3768.652</v>
      </c>
      <c r="F86" s="124">
        <v>527</v>
      </c>
      <c r="G86" s="124">
        <v>745.17200000000003</v>
      </c>
      <c r="H86" s="124">
        <v>28099</v>
      </c>
      <c r="I86" s="124">
        <v>28099</v>
      </c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>
        <f>D86+F86+H86+J86+L86+N86+P86+R86+T86+V86+X86+Z86</f>
        <v>30157</v>
      </c>
      <c r="AC86" s="124">
        <f>E86+G86+I86+K86+M86+O86+Q86+S86+U86+W86+Y86+AA86</f>
        <v>32612.824000000001</v>
      </c>
      <c r="AD86" s="130">
        <v>10884</v>
      </c>
      <c r="AE86" s="130">
        <v>10884</v>
      </c>
      <c r="AF86" s="130"/>
      <c r="AG86" s="73"/>
      <c r="AH86" s="73"/>
    </row>
    <row r="87" spans="1:35" s="71" customFormat="1" ht="15.75" x14ac:dyDescent="0.25">
      <c r="A87" s="55">
        <v>86</v>
      </c>
      <c r="B87" s="69"/>
      <c r="C87" s="63" t="s">
        <v>243</v>
      </c>
      <c r="D87" s="129">
        <f>D65+D75+D78+D81+D84</f>
        <v>351579</v>
      </c>
      <c r="E87" s="129">
        <f>E65+E75+E78+E81+E84</f>
        <v>388550.25399999996</v>
      </c>
      <c r="F87" s="129">
        <f t="shared" ref="F87:AC87" si="9">F65+F75+F78+F81+F84</f>
        <v>62543.8</v>
      </c>
      <c r="G87" s="129">
        <f t="shared" si="9"/>
        <v>69255.051999999996</v>
      </c>
      <c r="H87" s="129">
        <f t="shared" si="9"/>
        <v>257135.7</v>
      </c>
      <c r="I87" s="129">
        <f t="shared" si="9"/>
        <v>262466.73800000001</v>
      </c>
      <c r="J87" s="129">
        <f t="shared" si="9"/>
        <v>5400</v>
      </c>
      <c r="K87" s="129">
        <f t="shared" si="9"/>
        <v>9047.83</v>
      </c>
      <c r="L87" s="129">
        <f t="shared" si="9"/>
        <v>27112.1</v>
      </c>
      <c r="M87" s="129">
        <f t="shared" si="9"/>
        <v>30202.1</v>
      </c>
      <c r="N87" s="129">
        <f t="shared" si="9"/>
        <v>7378</v>
      </c>
      <c r="O87" s="129">
        <f t="shared" si="9"/>
        <v>7378</v>
      </c>
      <c r="P87" s="129">
        <f t="shared" si="9"/>
        <v>0</v>
      </c>
      <c r="Q87" s="129">
        <f t="shared" si="9"/>
        <v>0</v>
      </c>
      <c r="R87" s="129">
        <f t="shared" si="9"/>
        <v>0</v>
      </c>
      <c r="S87" s="129">
        <f t="shared" si="9"/>
        <v>0</v>
      </c>
      <c r="T87" s="129">
        <f t="shared" si="9"/>
        <v>622689</v>
      </c>
      <c r="U87" s="129">
        <f t="shared" si="9"/>
        <v>651208.11</v>
      </c>
      <c r="V87" s="129">
        <f t="shared" si="9"/>
        <v>22643</v>
      </c>
      <c r="W87" s="129">
        <f t="shared" si="9"/>
        <v>26870.351999999999</v>
      </c>
      <c r="X87" s="129">
        <f t="shared" si="9"/>
        <v>26106.298999999999</v>
      </c>
      <c r="Y87" s="129">
        <f t="shared" si="9"/>
        <v>21600.510999999999</v>
      </c>
      <c r="Z87" s="129">
        <f t="shared" si="9"/>
        <v>10927.733</v>
      </c>
      <c r="AA87" s="129">
        <f t="shared" si="9"/>
        <v>10927.733</v>
      </c>
      <c r="AB87" s="129">
        <f t="shared" si="9"/>
        <v>1393514.6319999998</v>
      </c>
      <c r="AC87" s="129">
        <f t="shared" si="9"/>
        <v>1477506.68</v>
      </c>
      <c r="AD87" s="129">
        <f>AD65+AD75+AD78+AD81+AD84</f>
        <v>312032.7</v>
      </c>
      <c r="AE87" s="129">
        <f>AE65+AE75+AE78+AE81+AE84</f>
        <v>327256.83799999999</v>
      </c>
      <c r="AF87" s="129"/>
      <c r="AG87" s="74"/>
      <c r="AH87" s="74"/>
      <c r="AI87" s="106"/>
    </row>
    <row r="88" spans="1:35" s="71" customFormat="1" ht="15.75" x14ac:dyDescent="0.25">
      <c r="A88" s="55">
        <v>87</v>
      </c>
      <c r="B88" s="69"/>
      <c r="C88" s="63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3"/>
      <c r="AE88" s="123"/>
      <c r="AF88" s="123"/>
      <c r="AG88" s="68"/>
      <c r="AH88" s="68"/>
      <c r="AI88" s="106"/>
    </row>
    <row r="89" spans="1:35" x14ac:dyDescent="0.25">
      <c r="A89" s="55">
        <v>88</v>
      </c>
      <c r="B89" s="67"/>
      <c r="C89" s="67" t="s">
        <v>244</v>
      </c>
      <c r="D89" s="127">
        <f>D73+D76+D79+D82+D85</f>
        <v>271777</v>
      </c>
      <c r="E89" s="127">
        <f>E73+E76+E79+E82+E85</f>
        <v>283092.00200000004</v>
      </c>
      <c r="F89" s="127">
        <f t="shared" ref="F89:AD89" si="10">F73+F76+F79+F82+F85</f>
        <v>45678.8</v>
      </c>
      <c r="G89" s="127">
        <f t="shared" ref="G89" si="11">G73+G76+G79+G82+G85</f>
        <v>47604.680999999997</v>
      </c>
      <c r="H89" s="127">
        <f t="shared" si="10"/>
        <v>128939.7</v>
      </c>
      <c r="I89" s="127">
        <f t="shared" ref="I89" si="12">I73+I76+I79+I82+I85</f>
        <v>130008.38799999998</v>
      </c>
      <c r="J89" s="127">
        <f t="shared" si="10"/>
        <v>2000</v>
      </c>
      <c r="K89" s="127">
        <f t="shared" ref="K89" si="13">K73+K76+K79+K82+K85</f>
        <v>2707.7799999999997</v>
      </c>
      <c r="L89" s="127">
        <f t="shared" si="10"/>
        <v>22862.1</v>
      </c>
      <c r="M89" s="127">
        <f t="shared" ref="M89" si="14">M73+M76+M79+M82+M85</f>
        <v>25382.1</v>
      </c>
      <c r="N89" s="127">
        <f t="shared" si="10"/>
        <v>5903</v>
      </c>
      <c r="O89" s="127">
        <f t="shared" ref="O89" si="15">O73+O76+O79+O82+O85</f>
        <v>5903</v>
      </c>
      <c r="P89" s="127">
        <f t="shared" si="10"/>
        <v>0</v>
      </c>
      <c r="Q89" s="127">
        <f t="shared" ref="Q89" si="16">Q73+Q76+Q79+Q82+Q85</f>
        <v>0</v>
      </c>
      <c r="R89" s="127">
        <f t="shared" si="10"/>
        <v>0</v>
      </c>
      <c r="S89" s="127">
        <f t="shared" ref="S89" si="17">S73+S76+S79+S82+S85</f>
        <v>0</v>
      </c>
      <c r="T89" s="127">
        <f t="shared" si="10"/>
        <v>15767</v>
      </c>
      <c r="U89" s="127">
        <f t="shared" ref="U89" si="18">U73+U76+U79+U82+U85</f>
        <v>16193</v>
      </c>
      <c r="V89" s="127">
        <f t="shared" si="10"/>
        <v>22643</v>
      </c>
      <c r="W89" s="127">
        <f t="shared" ref="W89" si="19">W73+W76+W79+W82+W85</f>
        <v>26870.351999999999</v>
      </c>
      <c r="X89" s="127">
        <f t="shared" si="10"/>
        <v>0</v>
      </c>
      <c r="Y89" s="127">
        <f t="shared" ref="Y89" si="20">Y73+Y76+Y79+Y82+Y85</f>
        <v>0</v>
      </c>
      <c r="Z89" s="127">
        <f t="shared" si="10"/>
        <v>10927.733</v>
      </c>
      <c r="AA89" s="127">
        <f t="shared" ref="AA89" si="21">AA73+AA76+AA79+AA82+AA85</f>
        <v>10927.733</v>
      </c>
      <c r="AB89" s="127">
        <f>AB73+AB76+AB79+AB82+AB85</f>
        <v>526498.33299999998</v>
      </c>
      <c r="AC89" s="127">
        <f>AC73+AC76+AC79+AC82+AC85</f>
        <v>548689.03600000008</v>
      </c>
      <c r="AD89" s="127">
        <f t="shared" si="10"/>
        <v>230070.69999999998</v>
      </c>
      <c r="AE89" s="127">
        <f t="shared" ref="AE89" si="22">AE73+AE76+AE79+AE82+AE85</f>
        <v>238687.038</v>
      </c>
      <c r="AF89" s="127"/>
      <c r="AG89" s="75"/>
      <c r="AH89" s="75"/>
      <c r="AI89" s="75"/>
    </row>
    <row r="90" spans="1:35" x14ac:dyDescent="0.25">
      <c r="A90" s="55">
        <v>89</v>
      </c>
      <c r="B90" s="67"/>
      <c r="C90" s="67" t="s">
        <v>313</v>
      </c>
      <c r="D90" s="127">
        <f>D77</f>
        <v>6000</v>
      </c>
      <c r="E90" s="127">
        <f>E77</f>
        <v>6000</v>
      </c>
      <c r="F90" s="127">
        <f t="shared" ref="F90:Z90" si="23">F77</f>
        <v>1170</v>
      </c>
      <c r="G90" s="127">
        <f t="shared" ref="G90" si="24">G77</f>
        <v>1170</v>
      </c>
      <c r="H90" s="127">
        <f t="shared" si="23"/>
        <v>0</v>
      </c>
      <c r="I90" s="127">
        <f t="shared" ref="I90" si="25">I77</f>
        <v>0</v>
      </c>
      <c r="J90" s="127">
        <f t="shared" si="23"/>
        <v>0</v>
      </c>
      <c r="K90" s="127">
        <f t="shared" ref="K90" si="26">K77</f>
        <v>0</v>
      </c>
      <c r="L90" s="127">
        <f t="shared" si="23"/>
        <v>0</v>
      </c>
      <c r="M90" s="127">
        <f t="shared" ref="M90" si="27">M77</f>
        <v>0</v>
      </c>
      <c r="N90" s="127">
        <f t="shared" si="23"/>
        <v>0</v>
      </c>
      <c r="O90" s="127">
        <f t="shared" ref="O90" si="28">O77</f>
        <v>0</v>
      </c>
      <c r="P90" s="127">
        <f t="shared" si="23"/>
        <v>0</v>
      </c>
      <c r="Q90" s="127">
        <f t="shared" ref="Q90" si="29">Q77</f>
        <v>0</v>
      </c>
      <c r="R90" s="127">
        <f t="shared" si="23"/>
        <v>0</v>
      </c>
      <c r="S90" s="127">
        <f t="shared" ref="S90" si="30">S77</f>
        <v>0</v>
      </c>
      <c r="T90" s="127">
        <f t="shared" si="23"/>
        <v>0</v>
      </c>
      <c r="U90" s="127">
        <f t="shared" ref="U90" si="31">U77</f>
        <v>0</v>
      </c>
      <c r="V90" s="127">
        <f t="shared" si="23"/>
        <v>0</v>
      </c>
      <c r="W90" s="127">
        <f t="shared" ref="W90" si="32">W77</f>
        <v>0</v>
      </c>
      <c r="X90" s="127">
        <f t="shared" si="23"/>
        <v>0</v>
      </c>
      <c r="Y90" s="127">
        <f t="shared" ref="Y90" si="33">Y77</f>
        <v>0</v>
      </c>
      <c r="Z90" s="127">
        <f t="shared" si="23"/>
        <v>0</v>
      </c>
      <c r="AA90" s="127">
        <f t="shared" ref="AA90" si="34">AA77</f>
        <v>0</v>
      </c>
      <c r="AB90" s="127">
        <f>AB77</f>
        <v>7170</v>
      </c>
      <c r="AC90" s="127">
        <f>AC77</f>
        <v>7170</v>
      </c>
      <c r="AD90" s="127">
        <f>AD77</f>
        <v>7170</v>
      </c>
      <c r="AE90" s="127">
        <f>AE77</f>
        <v>7170</v>
      </c>
      <c r="AF90" s="131"/>
      <c r="AG90" s="75"/>
      <c r="AH90" s="75"/>
      <c r="AI90" s="75"/>
    </row>
    <row r="91" spans="1:35" x14ac:dyDescent="0.25">
      <c r="A91" s="55">
        <v>90</v>
      </c>
      <c r="B91" s="67"/>
      <c r="C91" s="67" t="s">
        <v>245</v>
      </c>
      <c r="D91" s="127">
        <f>D74+D80+D83+D86</f>
        <v>73802</v>
      </c>
      <c r="E91" s="127">
        <f>E74+E80+E83+E86</f>
        <v>99458.252000000008</v>
      </c>
      <c r="F91" s="127">
        <f t="shared" ref="F91:AD91" si="35">F74+F80+F83+F86</f>
        <v>15695</v>
      </c>
      <c r="G91" s="127">
        <f t="shared" ref="G91" si="36">G74+G80+G83+G86</f>
        <v>20480.370999999999</v>
      </c>
      <c r="H91" s="127">
        <f t="shared" si="35"/>
        <v>128196</v>
      </c>
      <c r="I91" s="127">
        <f t="shared" ref="I91" si="37">I74+I80+I83+I86</f>
        <v>132458.35</v>
      </c>
      <c r="J91" s="127">
        <f t="shared" si="35"/>
        <v>3400</v>
      </c>
      <c r="K91" s="127">
        <f t="shared" ref="K91" si="38">K74+K80+K83+K86</f>
        <v>6340.05</v>
      </c>
      <c r="L91" s="127">
        <f t="shared" si="35"/>
        <v>4250</v>
      </c>
      <c r="M91" s="127">
        <f t="shared" ref="M91" si="39">M74+M80+M83+M86</f>
        <v>4820</v>
      </c>
      <c r="N91" s="127">
        <f t="shared" si="35"/>
        <v>1475</v>
      </c>
      <c r="O91" s="127">
        <f t="shared" ref="O91" si="40">O74+O80+O83+O86</f>
        <v>1475</v>
      </c>
      <c r="P91" s="127">
        <f t="shared" si="35"/>
        <v>0</v>
      </c>
      <c r="Q91" s="127">
        <f t="shared" ref="Q91" si="41">Q74+Q80+Q83+Q86</f>
        <v>0</v>
      </c>
      <c r="R91" s="127">
        <f t="shared" si="35"/>
        <v>0</v>
      </c>
      <c r="S91" s="127">
        <f t="shared" ref="S91" si="42">S74+S80+S83+S86</f>
        <v>0</v>
      </c>
      <c r="T91" s="127">
        <f t="shared" si="35"/>
        <v>606922</v>
      </c>
      <c r="U91" s="127">
        <f t="shared" ref="U91" si="43">U74+U80+U83+U86</f>
        <v>635015.11</v>
      </c>
      <c r="V91" s="127">
        <f t="shared" si="35"/>
        <v>0</v>
      </c>
      <c r="W91" s="127">
        <f t="shared" ref="W91" si="44">W74+W80+W83+W86</f>
        <v>0</v>
      </c>
      <c r="X91" s="127">
        <f t="shared" si="35"/>
        <v>26106.298999999999</v>
      </c>
      <c r="Y91" s="127">
        <f t="shared" ref="Y91" si="45">Y74+Y80+Y83+Y86</f>
        <v>21600.510999999999</v>
      </c>
      <c r="Z91" s="127">
        <f t="shared" si="35"/>
        <v>0</v>
      </c>
      <c r="AA91" s="127">
        <f t="shared" ref="AA91" si="46">AA74+AA80+AA83+AA86</f>
        <v>0</v>
      </c>
      <c r="AB91" s="127">
        <f>AB74+AB80+AB83+AB86</f>
        <v>859846.299</v>
      </c>
      <c r="AC91" s="127">
        <f>AC74+AC80+AC83+AC86</f>
        <v>921647.64399999997</v>
      </c>
      <c r="AD91" s="127">
        <f t="shared" si="35"/>
        <v>74792</v>
      </c>
      <c r="AE91" s="127">
        <f t="shared" ref="AE91" si="47">AE74+AE80+AE83+AE86</f>
        <v>81399.8</v>
      </c>
      <c r="AF91" s="131"/>
      <c r="AG91" s="75"/>
      <c r="AH91" s="75"/>
      <c r="AI91" s="75"/>
    </row>
    <row r="92" spans="1:35" s="71" customFormat="1" x14ac:dyDescent="0.25">
      <c r="A92" s="55">
        <v>91</v>
      </c>
      <c r="B92" s="76"/>
      <c r="C92" s="76" t="s">
        <v>246</v>
      </c>
      <c r="D92" s="131">
        <f>SUM(D89:D91)</f>
        <v>351579</v>
      </c>
      <c r="E92" s="131">
        <f>SUM(E89:E91)</f>
        <v>388550.25400000007</v>
      </c>
      <c r="F92" s="131">
        <f t="shared" ref="F92:AD92" si="48">SUM(F89:F91)</f>
        <v>62543.8</v>
      </c>
      <c r="G92" s="131">
        <f t="shared" ref="G92" si="49">SUM(G89:G91)</f>
        <v>69255.051999999996</v>
      </c>
      <c r="H92" s="131">
        <f t="shared" si="48"/>
        <v>257135.7</v>
      </c>
      <c r="I92" s="131">
        <f t="shared" ref="I92" si="50">SUM(I89:I91)</f>
        <v>262466.73800000001</v>
      </c>
      <c r="J92" s="131">
        <f t="shared" si="48"/>
        <v>5400</v>
      </c>
      <c r="K92" s="131">
        <f t="shared" ref="K92" si="51">SUM(K89:K91)</f>
        <v>9047.83</v>
      </c>
      <c r="L92" s="131">
        <f t="shared" si="48"/>
        <v>27112.1</v>
      </c>
      <c r="M92" s="131">
        <f t="shared" ref="M92" si="52">SUM(M89:M91)</f>
        <v>30202.1</v>
      </c>
      <c r="N92" s="131">
        <f t="shared" si="48"/>
        <v>7378</v>
      </c>
      <c r="O92" s="131">
        <f t="shared" ref="O92" si="53">SUM(O89:O91)</f>
        <v>7378</v>
      </c>
      <c r="P92" s="131">
        <f t="shared" si="48"/>
        <v>0</v>
      </c>
      <c r="Q92" s="131">
        <f t="shared" ref="Q92" si="54">SUM(Q89:Q91)</f>
        <v>0</v>
      </c>
      <c r="R92" s="131">
        <f t="shared" si="48"/>
        <v>0</v>
      </c>
      <c r="S92" s="131">
        <f t="shared" ref="S92" si="55">SUM(S89:S91)</f>
        <v>0</v>
      </c>
      <c r="T92" s="131">
        <f t="shared" si="48"/>
        <v>622689</v>
      </c>
      <c r="U92" s="131">
        <f t="shared" ref="U92" si="56">SUM(U89:U91)</f>
        <v>651208.11</v>
      </c>
      <c r="V92" s="131">
        <f t="shared" si="48"/>
        <v>22643</v>
      </c>
      <c r="W92" s="131">
        <f t="shared" ref="W92" si="57">SUM(W89:W91)</f>
        <v>26870.351999999999</v>
      </c>
      <c r="X92" s="131">
        <f t="shared" si="48"/>
        <v>26106.298999999999</v>
      </c>
      <c r="Y92" s="131">
        <f t="shared" ref="Y92" si="58">SUM(Y89:Y91)</f>
        <v>21600.510999999999</v>
      </c>
      <c r="Z92" s="131">
        <f t="shared" si="48"/>
        <v>10927.733</v>
      </c>
      <c r="AA92" s="131">
        <f t="shared" ref="AA92" si="59">SUM(AA89:AA91)</f>
        <v>10927.733</v>
      </c>
      <c r="AB92" s="131">
        <f>SUM(AB89:AB91)</f>
        <v>1393514.632</v>
      </c>
      <c r="AC92" s="131">
        <f>SUM(AC89:AC91)</f>
        <v>1477506.6800000002</v>
      </c>
      <c r="AD92" s="131">
        <f t="shared" si="48"/>
        <v>312032.69999999995</v>
      </c>
      <c r="AE92" s="131">
        <f t="shared" ref="AE92" si="60">SUM(AE89:AE91)</f>
        <v>327256.83799999999</v>
      </c>
      <c r="AF92" s="131"/>
      <c r="AG92" s="75"/>
      <c r="AH92" s="75"/>
      <c r="AI92" s="106"/>
    </row>
    <row r="93" spans="1:35" x14ac:dyDescent="0.25">
      <c r="AD93" s="167">
        <f>AB65+AD92</f>
        <v>1336860.3319999999</v>
      </c>
      <c r="AE93" s="167">
        <f>AC65+AE92</f>
        <v>1414944.5939999998</v>
      </c>
      <c r="AF93" s="77"/>
      <c r="AG93" s="77"/>
      <c r="AH93" s="77"/>
    </row>
    <row r="94" spans="1:35" x14ac:dyDescent="0.25">
      <c r="AF94" s="77"/>
      <c r="AG94" s="77"/>
      <c r="AH94" s="59">
        <v>13142</v>
      </c>
    </row>
    <row r="95" spans="1:35" x14ac:dyDescent="0.25">
      <c r="AF95" s="77"/>
      <c r="AG95" s="77"/>
      <c r="AH95" s="77"/>
    </row>
    <row r="98" spans="20:21" x14ac:dyDescent="0.25">
      <c r="T98" s="71"/>
      <c r="U98" s="71"/>
    </row>
  </sheetData>
  <mergeCells count="16">
    <mergeCell ref="C2:AF2"/>
    <mergeCell ref="X1:AD1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2"/>
  <sheetViews>
    <sheetView view="pageBreakPreview" topLeftCell="D1" zoomScaleNormal="100" zoomScaleSheetLayoutView="100" workbookViewId="0">
      <selection activeCell="L27" sqref="L27"/>
    </sheetView>
  </sheetViews>
  <sheetFormatPr defaultRowHeight="15" x14ac:dyDescent="0.25"/>
  <cols>
    <col min="1" max="1" width="6.28515625" style="217" customWidth="1"/>
    <col min="2" max="2" width="10.7109375" style="251" customWidth="1"/>
    <col min="3" max="3" width="40.7109375" style="217" customWidth="1"/>
    <col min="4" max="11" width="12.28515625" style="217" customWidth="1"/>
    <col min="12" max="13" width="10.85546875" style="217" customWidth="1"/>
    <col min="14" max="15" width="13.140625" style="217" customWidth="1"/>
    <col min="16" max="17" width="11.28515625" style="217" customWidth="1"/>
    <col min="18" max="19" width="10.140625" style="217" customWidth="1"/>
    <col min="20" max="21" width="10.85546875" style="217" customWidth="1"/>
    <col min="22" max="22" width="11.28515625" style="217" bestFit="1" customWidth="1"/>
    <col min="23" max="23" width="10.140625" style="217" hidden="1" customWidth="1"/>
    <col min="24" max="24" width="10.85546875" style="217" hidden="1" customWidth="1"/>
    <col min="25" max="25" width="12.42578125" style="217" bestFit="1" customWidth="1"/>
    <col min="26" max="16384" width="9.140625" style="217"/>
  </cols>
  <sheetData>
    <row r="1" spans="1:25" x14ac:dyDescent="0.25">
      <c r="N1" s="361" t="s">
        <v>424</v>
      </c>
      <c r="O1" s="361"/>
      <c r="P1" s="361"/>
      <c r="Q1" s="361"/>
      <c r="R1" s="361"/>
      <c r="S1" s="361"/>
      <c r="T1" s="361"/>
      <c r="U1" s="361"/>
      <c r="V1" s="361"/>
    </row>
    <row r="2" spans="1:25" ht="48" customHeight="1" x14ac:dyDescent="0.25">
      <c r="A2" s="218">
        <v>1</v>
      </c>
      <c r="B2" s="218"/>
      <c r="C2" s="383" t="s">
        <v>425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Y2" s="230"/>
    </row>
    <row r="3" spans="1:25" ht="57.75" customHeight="1" x14ac:dyDescent="0.25">
      <c r="A3" s="218">
        <v>2</v>
      </c>
      <c r="B3" s="241" t="s">
        <v>296</v>
      </c>
      <c r="C3" s="252" t="s">
        <v>203</v>
      </c>
      <c r="D3" s="385" t="s">
        <v>90</v>
      </c>
      <c r="E3" s="386"/>
      <c r="F3" s="385" t="s">
        <v>273</v>
      </c>
      <c r="G3" s="386"/>
      <c r="H3" s="385" t="s">
        <v>92</v>
      </c>
      <c r="I3" s="386"/>
      <c r="J3" s="385" t="s">
        <v>274</v>
      </c>
      <c r="K3" s="386"/>
      <c r="L3" s="385" t="s">
        <v>94</v>
      </c>
      <c r="M3" s="386"/>
      <c r="N3" s="385" t="s">
        <v>108</v>
      </c>
      <c r="O3" s="386"/>
      <c r="P3" s="385" t="s">
        <v>111</v>
      </c>
      <c r="Q3" s="386"/>
      <c r="R3" s="385" t="s">
        <v>277</v>
      </c>
      <c r="S3" s="386"/>
      <c r="T3" s="385" t="s">
        <v>278</v>
      </c>
      <c r="U3" s="386"/>
      <c r="V3" s="387" t="s">
        <v>243</v>
      </c>
      <c r="W3" s="388"/>
      <c r="X3" s="388"/>
      <c r="Y3" s="389"/>
    </row>
    <row r="4" spans="1:25" ht="42.75" x14ac:dyDescent="0.25">
      <c r="A4" s="218">
        <v>3</v>
      </c>
      <c r="B4" s="241"/>
      <c r="C4" s="252" t="s">
        <v>251</v>
      </c>
      <c r="D4" s="280" t="s">
        <v>412</v>
      </c>
      <c r="E4" s="64" t="s">
        <v>407</v>
      </c>
      <c r="F4" s="280" t="s">
        <v>412</v>
      </c>
      <c r="G4" s="64" t="s">
        <v>407</v>
      </c>
      <c r="H4" s="280" t="s">
        <v>412</v>
      </c>
      <c r="I4" s="64" t="s">
        <v>407</v>
      </c>
      <c r="J4" s="280" t="s">
        <v>412</v>
      </c>
      <c r="K4" s="64" t="s">
        <v>407</v>
      </c>
      <c r="L4" s="280" t="s">
        <v>412</v>
      </c>
      <c r="M4" s="64" t="s">
        <v>407</v>
      </c>
      <c r="N4" s="280" t="s">
        <v>412</v>
      </c>
      <c r="O4" s="64" t="s">
        <v>407</v>
      </c>
      <c r="P4" s="280" t="s">
        <v>412</v>
      </c>
      <c r="Q4" s="64" t="s">
        <v>407</v>
      </c>
      <c r="R4" s="280" t="s">
        <v>412</v>
      </c>
      <c r="S4" s="64" t="s">
        <v>407</v>
      </c>
      <c r="T4" s="280" t="s">
        <v>412</v>
      </c>
      <c r="U4" s="64" t="s">
        <v>407</v>
      </c>
      <c r="V4" s="280" t="s">
        <v>412</v>
      </c>
      <c r="W4" s="64" t="s">
        <v>407</v>
      </c>
      <c r="X4" s="280" t="s">
        <v>412</v>
      </c>
      <c r="Y4" s="64" t="s">
        <v>407</v>
      </c>
    </row>
    <row r="5" spans="1:25" x14ac:dyDescent="0.25">
      <c r="A5" s="218">
        <v>4</v>
      </c>
      <c r="B5" s="218" t="s">
        <v>319</v>
      </c>
      <c r="C5" s="253" t="s">
        <v>313</v>
      </c>
      <c r="D5" s="237">
        <v>6000</v>
      </c>
      <c r="E5" s="237">
        <v>6000</v>
      </c>
      <c r="F5" s="237">
        <v>1170</v>
      </c>
      <c r="G5" s="237">
        <v>1170</v>
      </c>
      <c r="H5" s="237"/>
      <c r="I5" s="237"/>
      <c r="J5" s="244"/>
      <c r="K5" s="244"/>
      <c r="L5" s="235"/>
      <c r="M5" s="235"/>
      <c r="N5" s="235"/>
      <c r="O5" s="235"/>
      <c r="P5" s="235"/>
      <c r="Q5" s="235"/>
      <c r="R5" s="235"/>
      <c r="S5" s="235"/>
      <c r="T5" s="244"/>
      <c r="U5" s="244"/>
      <c r="V5" s="254">
        <f>D5+F5+H5+J5+L5+N5+P5+R5+T5</f>
        <v>7170</v>
      </c>
      <c r="W5" s="254">
        <f t="shared" ref="W5:X7" si="0">E5+G5+I5+K5+M5+O5+Q5+S5+U5</f>
        <v>7170</v>
      </c>
      <c r="X5" s="254">
        <f t="shared" si="0"/>
        <v>8340</v>
      </c>
      <c r="Y5" s="254">
        <f>E5+G5+I5+K5+M5+O5+Q5+S5+U5</f>
        <v>7170</v>
      </c>
    </row>
    <row r="6" spans="1:25" x14ac:dyDescent="0.25">
      <c r="A6" s="218"/>
      <c r="B6" s="218" t="s">
        <v>210</v>
      </c>
      <c r="C6" s="253" t="s">
        <v>457</v>
      </c>
      <c r="D6" s="237"/>
      <c r="E6" s="237">
        <v>870</v>
      </c>
      <c r="F6" s="237"/>
      <c r="G6" s="237">
        <v>166.57499999999999</v>
      </c>
      <c r="H6" s="237"/>
      <c r="I6" s="237">
        <v>103.425</v>
      </c>
      <c r="J6" s="244"/>
      <c r="K6" s="244"/>
      <c r="L6" s="235"/>
      <c r="M6" s="235"/>
      <c r="N6" s="235"/>
      <c r="O6" s="235">
        <v>20</v>
      </c>
      <c r="P6" s="235"/>
      <c r="Q6" s="235"/>
      <c r="R6" s="235"/>
      <c r="S6" s="235"/>
      <c r="T6" s="244"/>
      <c r="U6" s="244"/>
      <c r="V6" s="254"/>
      <c r="W6" s="254"/>
      <c r="X6" s="254"/>
      <c r="Y6" s="254">
        <f>E6+G6+I6+K6+M6+O6+Q6+S6+U6</f>
        <v>1160</v>
      </c>
    </row>
    <row r="7" spans="1:25" x14ac:dyDescent="0.25">
      <c r="A7" s="218">
        <v>5</v>
      </c>
      <c r="B7" s="218" t="s">
        <v>210</v>
      </c>
      <c r="C7" s="253" t="s">
        <v>252</v>
      </c>
      <c r="D7" s="237">
        <v>52457</v>
      </c>
      <c r="E7" s="237">
        <f>52960.5+6.9</f>
        <v>52967.4</v>
      </c>
      <c r="F7" s="237">
        <v>10460</v>
      </c>
      <c r="G7" s="237">
        <f>10558.164+1.337</f>
        <v>10559.501</v>
      </c>
      <c r="H7" s="237">
        <v>10495</v>
      </c>
      <c r="I7" s="273">
        <f>H7-6.601-23</f>
        <v>10465.398999999999</v>
      </c>
      <c r="J7" s="244"/>
      <c r="K7" s="244"/>
      <c r="L7" s="235"/>
      <c r="M7" s="235"/>
      <c r="N7" s="235">
        <v>127</v>
      </c>
      <c r="O7" s="285">
        <f>127+23</f>
        <v>150</v>
      </c>
      <c r="P7" s="235"/>
      <c r="Q7" s="235"/>
      <c r="R7" s="235"/>
      <c r="S7" s="235"/>
      <c r="T7" s="244"/>
      <c r="U7" s="244"/>
      <c r="V7" s="254">
        <f>D7+F7+H7+J7+L7+N7+P7+R7+T7</f>
        <v>73539</v>
      </c>
      <c r="W7" s="254">
        <f t="shared" si="0"/>
        <v>74142.3</v>
      </c>
      <c r="X7" s="254">
        <f t="shared" si="0"/>
        <v>94621</v>
      </c>
      <c r="Y7" s="254">
        <f>E7+G7+I7+K7+M7+O7+Q7+S7+U7</f>
        <v>74142.3</v>
      </c>
    </row>
    <row r="8" spans="1:25" ht="15.75" x14ac:dyDescent="0.25">
      <c r="A8" s="218">
        <v>6</v>
      </c>
      <c r="B8" s="218"/>
      <c r="C8" s="252" t="s">
        <v>253</v>
      </c>
      <c r="D8" s="254">
        <f t="shared" ref="D8:V8" si="1">SUM(D5:D7)</f>
        <v>58457</v>
      </c>
      <c r="E8" s="254">
        <f t="shared" si="1"/>
        <v>59837.4</v>
      </c>
      <c r="F8" s="254">
        <f t="shared" si="1"/>
        <v>11630</v>
      </c>
      <c r="G8" s="254">
        <f t="shared" ref="G8" si="2">SUM(G5:G7)</f>
        <v>11896.076000000001</v>
      </c>
      <c r="H8" s="254">
        <f t="shared" si="1"/>
        <v>10495</v>
      </c>
      <c r="I8" s="254">
        <f t="shared" ref="I8" si="3">SUM(I5:I7)</f>
        <v>10568.823999999999</v>
      </c>
      <c r="J8" s="254">
        <f t="shared" si="1"/>
        <v>0</v>
      </c>
      <c r="K8" s="254">
        <f t="shared" ref="K8" si="4">SUM(K5:K7)</f>
        <v>0</v>
      </c>
      <c r="L8" s="254">
        <f t="shared" si="1"/>
        <v>0</v>
      </c>
      <c r="M8" s="254">
        <f t="shared" ref="M8" si="5">SUM(M5:M7)</f>
        <v>0</v>
      </c>
      <c r="N8" s="254">
        <f t="shared" si="1"/>
        <v>127</v>
      </c>
      <c r="O8" s="254">
        <f t="shared" ref="O8" si="6">SUM(O5:O7)</f>
        <v>170</v>
      </c>
      <c r="P8" s="254">
        <f t="shared" si="1"/>
        <v>0</v>
      </c>
      <c r="Q8" s="254">
        <f t="shared" ref="Q8" si="7">SUM(Q5:Q7)</f>
        <v>0</v>
      </c>
      <c r="R8" s="254">
        <f t="shared" si="1"/>
        <v>0</v>
      </c>
      <c r="S8" s="254">
        <f t="shared" ref="S8" si="8">SUM(S5:S7)</f>
        <v>0</v>
      </c>
      <c r="T8" s="254">
        <f t="shared" si="1"/>
        <v>0</v>
      </c>
      <c r="U8" s="254">
        <f t="shared" ref="U8" si="9">SUM(U5:U7)</f>
        <v>0</v>
      </c>
      <c r="V8" s="254">
        <f t="shared" si="1"/>
        <v>80709</v>
      </c>
      <c r="W8" s="254">
        <f t="shared" ref="W8:Y8" si="10">SUM(W5:W7)</f>
        <v>81312.3</v>
      </c>
      <c r="X8" s="254">
        <f t="shared" si="10"/>
        <v>102961</v>
      </c>
      <c r="Y8" s="254">
        <f t="shared" si="10"/>
        <v>82472.3</v>
      </c>
    </row>
    <row r="9" spans="1:25" x14ac:dyDescent="0.25">
      <c r="A9" s="218">
        <v>7</v>
      </c>
      <c r="B9" s="218"/>
      <c r="C9" s="230" t="s">
        <v>239</v>
      </c>
      <c r="D9" s="228">
        <f t="shared" ref="D9:V9" si="11">SUMIF($B5:$B7,"kötelező",D5:D7)</f>
        <v>52457</v>
      </c>
      <c r="E9" s="228">
        <f t="shared" si="11"/>
        <v>53837.4</v>
      </c>
      <c r="F9" s="228">
        <f t="shared" si="11"/>
        <v>10460</v>
      </c>
      <c r="G9" s="228">
        <f t="shared" ref="G9" si="12">SUMIF($B5:$B7,"kötelező",G5:G7)</f>
        <v>10726.076000000001</v>
      </c>
      <c r="H9" s="228">
        <f t="shared" si="11"/>
        <v>10495</v>
      </c>
      <c r="I9" s="228">
        <f t="shared" ref="I9" si="13">SUMIF($B5:$B7,"kötelező",I5:I7)</f>
        <v>10568.823999999999</v>
      </c>
      <c r="J9" s="228">
        <f t="shared" si="11"/>
        <v>0</v>
      </c>
      <c r="K9" s="228">
        <f t="shared" ref="K9" si="14">SUMIF($B5:$B7,"kötelező",K5:K7)</f>
        <v>0</v>
      </c>
      <c r="L9" s="228">
        <f t="shared" si="11"/>
        <v>0</v>
      </c>
      <c r="M9" s="228">
        <f t="shared" ref="M9" si="15">SUMIF($B5:$B7,"kötelező",M5:M7)</f>
        <v>0</v>
      </c>
      <c r="N9" s="228">
        <f t="shared" si="11"/>
        <v>127</v>
      </c>
      <c r="O9" s="228">
        <f t="shared" ref="O9" si="16">SUMIF($B5:$B7,"kötelező",O5:O7)</f>
        <v>170</v>
      </c>
      <c r="P9" s="228">
        <f t="shared" si="11"/>
        <v>0</v>
      </c>
      <c r="Q9" s="228">
        <f t="shared" ref="Q9" si="17">SUMIF($B5:$B7,"kötelező",Q5:Q7)</f>
        <v>0</v>
      </c>
      <c r="R9" s="228">
        <f t="shared" si="11"/>
        <v>0</v>
      </c>
      <c r="S9" s="228">
        <f t="shared" ref="S9" si="18">SUMIF($B5:$B7,"kötelező",S5:S7)</f>
        <v>0</v>
      </c>
      <c r="T9" s="228">
        <f t="shared" si="11"/>
        <v>0</v>
      </c>
      <c r="U9" s="228">
        <f t="shared" ref="U9" si="19">SUMIF($B5:$B7,"kötelező",U5:U7)</f>
        <v>0</v>
      </c>
      <c r="V9" s="228">
        <f t="shared" si="11"/>
        <v>73539</v>
      </c>
      <c r="W9" s="228">
        <f t="shared" ref="W9:Y9" si="20">SUMIF($B5:$B7,"kötelező",W5:W7)</f>
        <v>74142.3</v>
      </c>
      <c r="X9" s="228">
        <f t="shared" si="20"/>
        <v>94621</v>
      </c>
      <c r="Y9" s="228">
        <f t="shared" si="20"/>
        <v>75302.3</v>
      </c>
    </row>
    <row r="10" spans="1:25" x14ac:dyDescent="0.25">
      <c r="A10" s="218">
        <v>8</v>
      </c>
      <c r="B10" s="218"/>
      <c r="C10" s="230" t="s">
        <v>313</v>
      </c>
      <c r="D10" s="228">
        <f>SUMIF($B5:$B7,"államigazg",D5:D7)</f>
        <v>6000</v>
      </c>
      <c r="E10" s="228">
        <f>SUMIF($B5:$B7,"államigazg",E5:E7)</f>
        <v>6000</v>
      </c>
      <c r="F10" s="228">
        <f t="shared" ref="F10:V10" si="21">SUMIF($B5:$B7,"államigazg",F5:F7)</f>
        <v>1170</v>
      </c>
      <c r="G10" s="228">
        <f t="shared" ref="G10" si="22">SUMIF($B5:$B7,"államigazg",G5:G7)</f>
        <v>1170</v>
      </c>
      <c r="H10" s="228">
        <f t="shared" si="21"/>
        <v>0</v>
      </c>
      <c r="I10" s="228">
        <f t="shared" ref="I10" si="23">SUMIF($B5:$B7,"államigazg",I5:I7)</f>
        <v>0</v>
      </c>
      <c r="J10" s="228">
        <f t="shared" si="21"/>
        <v>0</v>
      </c>
      <c r="K10" s="228">
        <f t="shared" ref="K10" si="24">SUMIF($B5:$B7,"államigazg",K5:K7)</f>
        <v>0</v>
      </c>
      <c r="L10" s="228">
        <f t="shared" si="21"/>
        <v>0</v>
      </c>
      <c r="M10" s="228">
        <f t="shared" ref="M10" si="25">SUMIF($B5:$B7,"államigazg",M5:M7)</f>
        <v>0</v>
      </c>
      <c r="N10" s="228">
        <f t="shared" si="21"/>
        <v>0</v>
      </c>
      <c r="O10" s="228">
        <f t="shared" ref="O10" si="26">SUMIF($B5:$B7,"államigazg",O5:O7)</f>
        <v>0</v>
      </c>
      <c r="P10" s="228">
        <f t="shared" si="21"/>
        <v>0</v>
      </c>
      <c r="Q10" s="228">
        <f t="shared" ref="Q10" si="27">SUMIF($B5:$B7,"államigazg",Q5:Q7)</f>
        <v>0</v>
      </c>
      <c r="R10" s="228">
        <f t="shared" si="21"/>
        <v>0</v>
      </c>
      <c r="S10" s="228">
        <f t="shared" ref="S10" si="28">SUMIF($B5:$B7,"államigazg",S5:S7)</f>
        <v>0</v>
      </c>
      <c r="T10" s="228">
        <f t="shared" si="21"/>
        <v>0</v>
      </c>
      <c r="U10" s="228">
        <f t="shared" ref="U10" si="29">SUMIF($B5:$B7,"államigazg",U5:U7)</f>
        <v>0</v>
      </c>
      <c r="V10" s="228">
        <f t="shared" si="21"/>
        <v>7170</v>
      </c>
      <c r="W10" s="228">
        <f t="shared" ref="W10:Y10" si="30">SUMIF($B5:$B7,"államigazg",W5:W7)</f>
        <v>7170</v>
      </c>
      <c r="X10" s="228">
        <f t="shared" si="30"/>
        <v>8340</v>
      </c>
      <c r="Y10" s="228">
        <f t="shared" si="30"/>
        <v>7170</v>
      </c>
    </row>
    <row r="11" spans="1:25" x14ac:dyDescent="0.25">
      <c r="A11" s="218">
        <v>9</v>
      </c>
      <c r="B11" s="218"/>
      <c r="C11" s="230" t="s">
        <v>298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55">
        <v>17</v>
      </c>
      <c r="W11" s="255">
        <v>17</v>
      </c>
      <c r="X11" s="255">
        <v>17</v>
      </c>
      <c r="Y11" s="255">
        <v>17</v>
      </c>
    </row>
    <row r="12" spans="1:25" x14ac:dyDescent="0.25">
      <c r="A12" s="218">
        <v>10</v>
      </c>
      <c r="B12" s="218"/>
      <c r="C12" s="230" t="s">
        <v>299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>
        <v>0</v>
      </c>
      <c r="W12" s="230">
        <v>0</v>
      </c>
      <c r="X12" s="230">
        <v>0</v>
      </c>
      <c r="Y12" s="230">
        <v>0</v>
      </c>
    </row>
  </sheetData>
  <mergeCells count="12">
    <mergeCell ref="C2:V2"/>
    <mergeCell ref="N1:V1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Y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21"/>
  <sheetViews>
    <sheetView view="pageBreakPreview" topLeftCell="C1" zoomScaleNormal="100" zoomScaleSheetLayoutView="100" workbookViewId="0">
      <selection activeCell="N10" sqref="N10"/>
    </sheetView>
  </sheetViews>
  <sheetFormatPr defaultRowHeight="15" x14ac:dyDescent="0.25"/>
  <cols>
    <col min="1" max="1" width="5.5703125" style="59" customWidth="1"/>
    <col min="2" max="2" width="14" style="256" customWidth="1"/>
    <col min="3" max="3" width="29.28515625" style="59" customWidth="1"/>
    <col min="4" max="13" width="12.28515625" style="59" customWidth="1"/>
    <col min="14" max="15" width="14.28515625" style="59" customWidth="1"/>
    <col min="16" max="22" width="12.28515625" style="59" customWidth="1"/>
    <col min="23" max="23" width="11.85546875" style="77" hidden="1" customWidth="1"/>
    <col min="24" max="24" width="12" style="59" hidden="1" customWidth="1"/>
    <col min="25" max="25" width="12.42578125" style="71" bestFit="1" customWidth="1"/>
    <col min="26" max="16384" width="9.140625" style="59"/>
  </cols>
  <sheetData>
    <row r="1" spans="1:25" x14ac:dyDescent="0.25">
      <c r="P1" s="390" t="s">
        <v>426</v>
      </c>
      <c r="Q1" s="390"/>
      <c r="R1" s="390"/>
      <c r="S1" s="390"/>
      <c r="T1" s="390"/>
      <c r="U1" s="390"/>
      <c r="V1" s="390"/>
    </row>
    <row r="2" spans="1:25" ht="54" customHeight="1" x14ac:dyDescent="0.25">
      <c r="A2" s="55">
        <v>1</v>
      </c>
      <c r="B2" s="257"/>
      <c r="C2" s="391" t="s">
        <v>427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3"/>
    </row>
    <row r="3" spans="1:25" ht="30" x14ac:dyDescent="0.25">
      <c r="A3" s="55">
        <v>2</v>
      </c>
      <c r="B3" s="62" t="s">
        <v>258</v>
      </c>
      <c r="C3" s="63" t="s">
        <v>203</v>
      </c>
      <c r="D3" s="385" t="s">
        <v>90</v>
      </c>
      <c r="E3" s="386"/>
      <c r="F3" s="385" t="s">
        <v>273</v>
      </c>
      <c r="G3" s="386"/>
      <c r="H3" s="385" t="s">
        <v>92</v>
      </c>
      <c r="I3" s="386"/>
      <c r="J3" s="385" t="s">
        <v>274</v>
      </c>
      <c r="K3" s="386"/>
      <c r="L3" s="385" t="s">
        <v>318</v>
      </c>
      <c r="M3" s="386"/>
      <c r="N3" s="385" t="s">
        <v>108</v>
      </c>
      <c r="O3" s="386"/>
      <c r="P3" s="385" t="s">
        <v>111</v>
      </c>
      <c r="Q3" s="386"/>
      <c r="R3" s="385" t="s">
        <v>277</v>
      </c>
      <c r="S3" s="386"/>
      <c r="T3" s="385" t="s">
        <v>297</v>
      </c>
      <c r="U3" s="386"/>
      <c r="V3" s="394" t="s">
        <v>243</v>
      </c>
      <c r="W3" s="394"/>
      <c r="X3" s="394"/>
      <c r="Y3" s="394"/>
    </row>
    <row r="4" spans="1:25" ht="28.5" x14ac:dyDescent="0.25">
      <c r="A4" s="55">
        <v>3</v>
      </c>
      <c r="B4" s="257"/>
      <c r="C4" s="63" t="s">
        <v>251</v>
      </c>
      <c r="D4" s="280" t="s">
        <v>412</v>
      </c>
      <c r="E4" s="64" t="s">
        <v>407</v>
      </c>
      <c r="F4" s="280" t="s">
        <v>412</v>
      </c>
      <c r="G4" s="64" t="s">
        <v>407</v>
      </c>
      <c r="H4" s="280" t="s">
        <v>412</v>
      </c>
      <c r="I4" s="64" t="s">
        <v>407</v>
      </c>
      <c r="J4" s="280" t="s">
        <v>412</v>
      </c>
      <c r="K4" s="64" t="s">
        <v>407</v>
      </c>
      <c r="L4" s="280" t="s">
        <v>412</v>
      </c>
      <c r="M4" s="64" t="s">
        <v>407</v>
      </c>
      <c r="N4" s="280" t="s">
        <v>412</v>
      </c>
      <c r="O4" s="64" t="s">
        <v>407</v>
      </c>
      <c r="P4" s="280" t="s">
        <v>412</v>
      </c>
      <c r="Q4" s="64" t="s">
        <v>407</v>
      </c>
      <c r="R4" s="280" t="s">
        <v>412</v>
      </c>
      <c r="S4" s="64" t="s">
        <v>407</v>
      </c>
      <c r="T4" s="280" t="s">
        <v>412</v>
      </c>
      <c r="U4" s="64" t="s">
        <v>407</v>
      </c>
      <c r="V4" s="280" t="s">
        <v>412</v>
      </c>
      <c r="W4" s="64" t="s">
        <v>407</v>
      </c>
      <c r="X4" s="280" t="s">
        <v>412</v>
      </c>
      <c r="Y4" s="64" t="s">
        <v>407</v>
      </c>
    </row>
    <row r="5" spans="1:25" x14ac:dyDescent="0.25">
      <c r="A5" s="55">
        <v>4</v>
      </c>
      <c r="B5" s="257" t="s">
        <v>210</v>
      </c>
      <c r="C5" s="56" t="s">
        <v>259</v>
      </c>
      <c r="D5" s="125">
        <v>120</v>
      </c>
      <c r="E5" s="125">
        <v>120</v>
      </c>
      <c r="F5" s="125">
        <v>29</v>
      </c>
      <c r="G5" s="125">
        <v>29</v>
      </c>
      <c r="H5" s="237">
        <v>583</v>
      </c>
      <c r="I5" s="237">
        <v>583</v>
      </c>
      <c r="J5" s="125"/>
      <c r="K5" s="125"/>
      <c r="L5" s="125">
        <v>120</v>
      </c>
      <c r="M5" s="125">
        <v>120</v>
      </c>
      <c r="N5" s="125"/>
      <c r="O5" s="125"/>
      <c r="P5" s="125"/>
      <c r="Q5" s="125"/>
      <c r="R5" s="125"/>
      <c r="S5" s="125"/>
      <c r="T5" s="125"/>
      <c r="U5" s="125"/>
      <c r="V5" s="122">
        <f>T5+R5+P5+N5+L5+J5+H5+F5+D5</f>
        <v>852</v>
      </c>
      <c r="W5" s="258">
        <v>11317</v>
      </c>
      <c r="X5" s="259">
        <v>10318</v>
      </c>
      <c r="Y5" s="131">
        <f>E5+G5+I5+K5+M5+O5+Q5+S5+U5</f>
        <v>852</v>
      </c>
    </row>
    <row r="6" spans="1:25" x14ac:dyDescent="0.25">
      <c r="A6" s="55">
        <v>6</v>
      </c>
      <c r="B6" s="257" t="s">
        <v>210</v>
      </c>
      <c r="C6" s="56" t="s">
        <v>260</v>
      </c>
      <c r="D6" s="125"/>
      <c r="E6" s="125"/>
      <c r="F6" s="125"/>
      <c r="G6" s="125"/>
      <c r="H6" s="125">
        <v>321</v>
      </c>
      <c r="I6" s="125">
        <v>321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2">
        <f t="shared" ref="V6:V15" si="0">T6+R6+P6+N6+L6+J6+H6+F6+D6</f>
        <v>321</v>
      </c>
      <c r="W6" s="258">
        <v>173</v>
      </c>
      <c r="X6" s="259">
        <v>211</v>
      </c>
      <c r="Y6" s="131">
        <f t="shared" ref="Y6:Y16" si="1">E6+G6+I6+K6+M6+O6+Q6+S6+U6</f>
        <v>321</v>
      </c>
    </row>
    <row r="7" spans="1:25" x14ac:dyDescent="0.25">
      <c r="A7" s="55">
        <v>7</v>
      </c>
      <c r="B7" s="257" t="s">
        <v>214</v>
      </c>
      <c r="C7" s="56" t="s">
        <v>261</v>
      </c>
      <c r="D7" s="125">
        <v>307</v>
      </c>
      <c r="E7" s="125">
        <f>D7+89</f>
        <v>396</v>
      </c>
      <c r="F7" s="125">
        <v>62</v>
      </c>
      <c r="G7" s="125">
        <f>F7+16.8</f>
        <v>78.8</v>
      </c>
      <c r="H7" s="125">
        <v>320</v>
      </c>
      <c r="I7" s="125">
        <v>320</v>
      </c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2">
        <f t="shared" si="0"/>
        <v>689</v>
      </c>
      <c r="W7" s="258">
        <v>3044</v>
      </c>
      <c r="X7" s="259">
        <v>2528</v>
      </c>
      <c r="Y7" s="131">
        <f t="shared" si="1"/>
        <v>794.8</v>
      </c>
    </row>
    <row r="8" spans="1:25" x14ac:dyDescent="0.25">
      <c r="A8" s="55">
        <v>8</v>
      </c>
      <c r="B8" s="257" t="s">
        <v>210</v>
      </c>
      <c r="C8" s="56" t="s">
        <v>262</v>
      </c>
      <c r="D8" s="125">
        <v>6681</v>
      </c>
      <c r="E8" s="125">
        <f>6813+70.6</f>
        <v>6883.6</v>
      </c>
      <c r="F8" s="125">
        <v>1336</v>
      </c>
      <c r="G8" s="125">
        <f>1362+13.747</f>
        <v>1375.7470000000001</v>
      </c>
      <c r="H8" s="125">
        <v>1521</v>
      </c>
      <c r="I8" s="125">
        <v>1521</v>
      </c>
      <c r="J8" s="125"/>
      <c r="K8" s="125"/>
      <c r="L8" s="125"/>
      <c r="M8" s="125"/>
      <c r="N8" s="125"/>
      <c r="O8" s="286">
        <v>60</v>
      </c>
      <c r="P8" s="125"/>
      <c r="Q8" s="125"/>
      <c r="R8" s="125"/>
      <c r="S8" s="125"/>
      <c r="T8" s="125"/>
      <c r="U8" s="125"/>
      <c r="V8" s="122">
        <f t="shared" si="0"/>
        <v>9538</v>
      </c>
      <c r="W8" s="258">
        <v>6614</v>
      </c>
      <c r="X8" s="259">
        <v>6801</v>
      </c>
      <c r="Y8" s="131">
        <f t="shared" si="1"/>
        <v>9840.3469999999998</v>
      </c>
    </row>
    <row r="9" spans="1:25" x14ac:dyDescent="0.25">
      <c r="A9" s="55">
        <v>9</v>
      </c>
      <c r="B9" s="257" t="s">
        <v>210</v>
      </c>
      <c r="C9" s="56" t="s">
        <v>263</v>
      </c>
      <c r="D9" s="125"/>
      <c r="E9" s="125"/>
      <c r="F9" s="125"/>
      <c r="G9" s="125"/>
      <c r="H9" s="125">
        <v>600</v>
      </c>
      <c r="I9" s="125">
        <v>600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2">
        <f t="shared" si="0"/>
        <v>600</v>
      </c>
      <c r="W9" s="258">
        <v>480</v>
      </c>
      <c r="X9" s="259">
        <v>480</v>
      </c>
      <c r="Y9" s="131">
        <f t="shared" si="1"/>
        <v>600</v>
      </c>
    </row>
    <row r="10" spans="1:25" x14ac:dyDescent="0.25">
      <c r="A10" s="55">
        <v>10</v>
      </c>
      <c r="B10" s="257" t="s">
        <v>214</v>
      </c>
      <c r="C10" s="56" t="s">
        <v>300</v>
      </c>
      <c r="D10" s="125">
        <v>47814</v>
      </c>
      <c r="E10" s="125">
        <f>47814+5265+404.6</f>
        <v>53483.6</v>
      </c>
      <c r="F10" s="125">
        <v>9283</v>
      </c>
      <c r="G10" s="125">
        <f>9283+1027+78.899</f>
        <v>10388.898999999999</v>
      </c>
      <c r="H10" s="125">
        <v>30380</v>
      </c>
      <c r="I10" s="125">
        <v>30380</v>
      </c>
      <c r="J10" s="125"/>
      <c r="K10" s="125"/>
      <c r="L10" s="125"/>
      <c r="M10" s="125"/>
      <c r="N10" s="125"/>
      <c r="O10" s="286">
        <f>127+210</f>
        <v>337</v>
      </c>
      <c r="P10" s="125"/>
      <c r="Q10" s="125"/>
      <c r="R10" s="125"/>
      <c r="S10" s="125"/>
      <c r="T10" s="125"/>
      <c r="U10" s="125"/>
      <c r="V10" s="122">
        <f t="shared" si="0"/>
        <v>87477</v>
      </c>
      <c r="W10" s="258">
        <v>63126</v>
      </c>
      <c r="X10" s="259">
        <f>58896+3200</f>
        <v>62096</v>
      </c>
      <c r="Y10" s="131">
        <f t="shared" si="1"/>
        <v>94589.498999999996</v>
      </c>
    </row>
    <row r="11" spans="1:25" x14ac:dyDescent="0.25">
      <c r="A11" s="55">
        <v>11</v>
      </c>
      <c r="B11" s="257" t="s">
        <v>210</v>
      </c>
      <c r="C11" s="56" t="s">
        <v>265</v>
      </c>
      <c r="D11" s="125">
        <v>6695</v>
      </c>
      <c r="E11" s="125">
        <f>8809+24.2</f>
        <v>8833.2000000000007</v>
      </c>
      <c r="F11" s="125">
        <v>1314</v>
      </c>
      <c r="G11" s="125">
        <f>1729+4.771</f>
        <v>1733.771</v>
      </c>
      <c r="H11" s="125">
        <v>2628</v>
      </c>
      <c r="I11" s="125">
        <v>2628</v>
      </c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2">
        <f t="shared" si="0"/>
        <v>10637</v>
      </c>
      <c r="W11" s="258">
        <v>9158</v>
      </c>
      <c r="X11" s="259">
        <v>8953</v>
      </c>
      <c r="Y11" s="131">
        <f t="shared" si="1"/>
        <v>13194.971000000001</v>
      </c>
    </row>
    <row r="12" spans="1:25" x14ac:dyDescent="0.25">
      <c r="A12" s="55">
        <v>12</v>
      </c>
      <c r="B12" s="257" t="s">
        <v>210</v>
      </c>
      <c r="C12" s="56" t="s">
        <v>357</v>
      </c>
      <c r="D12" s="125">
        <v>6892</v>
      </c>
      <c r="E12" s="125">
        <f>9650+64.8</f>
        <v>9714.7999999999993</v>
      </c>
      <c r="F12" s="125">
        <v>1293</v>
      </c>
      <c r="G12" s="125">
        <f>1831+12.594</f>
        <v>1843.5940000000001</v>
      </c>
      <c r="H12" s="125">
        <v>727</v>
      </c>
      <c r="I12" s="125">
        <v>727</v>
      </c>
      <c r="J12" s="125"/>
      <c r="K12" s="125"/>
      <c r="L12" s="125"/>
      <c r="M12" s="125"/>
      <c r="N12" s="125">
        <v>127</v>
      </c>
      <c r="O12" s="125"/>
      <c r="P12" s="125"/>
      <c r="Q12" s="125"/>
      <c r="R12" s="125"/>
      <c r="S12" s="125"/>
      <c r="T12" s="125"/>
      <c r="U12" s="125"/>
      <c r="V12" s="122">
        <f t="shared" si="0"/>
        <v>9039</v>
      </c>
      <c r="W12" s="258">
        <v>2424</v>
      </c>
      <c r="X12" s="259">
        <v>2678</v>
      </c>
      <c r="Y12" s="131">
        <f t="shared" si="1"/>
        <v>12285.394</v>
      </c>
    </row>
    <row r="13" spans="1:25" x14ac:dyDescent="0.25">
      <c r="A13" s="55">
        <v>13</v>
      </c>
      <c r="B13" s="257" t="s">
        <v>210</v>
      </c>
      <c r="C13" s="56" t="s">
        <v>266</v>
      </c>
      <c r="D13" s="125">
        <v>3312</v>
      </c>
      <c r="E13" s="125">
        <f>3525+40.8</f>
        <v>3565.8</v>
      </c>
      <c r="F13" s="125">
        <v>641</v>
      </c>
      <c r="G13" s="125">
        <f>682+8.015</f>
        <v>690.01499999999999</v>
      </c>
      <c r="H13" s="125">
        <v>7518</v>
      </c>
      <c r="I13" s="125">
        <v>7518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2">
        <f t="shared" si="0"/>
        <v>11471</v>
      </c>
      <c r="W13" s="258">
        <v>15074</v>
      </c>
      <c r="X13" s="259">
        <v>15183</v>
      </c>
      <c r="Y13" s="131">
        <f t="shared" si="1"/>
        <v>11773.815000000001</v>
      </c>
    </row>
    <row r="14" spans="1:25" x14ac:dyDescent="0.25">
      <c r="A14" s="55">
        <v>14</v>
      </c>
      <c r="B14" s="257" t="s">
        <v>210</v>
      </c>
      <c r="C14" s="56" t="s">
        <v>267</v>
      </c>
      <c r="D14" s="125">
        <v>7590</v>
      </c>
      <c r="E14" s="125">
        <f>7590+339</f>
        <v>7929</v>
      </c>
      <c r="F14" s="125">
        <v>1482</v>
      </c>
      <c r="G14" s="125">
        <f>1482+66</f>
        <v>1548</v>
      </c>
      <c r="H14" s="125">
        <v>467</v>
      </c>
      <c r="I14" s="125">
        <v>467</v>
      </c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2">
        <f t="shared" si="0"/>
        <v>9539</v>
      </c>
      <c r="W14" s="258">
        <v>6981</v>
      </c>
      <c r="X14" s="259">
        <v>7395</v>
      </c>
      <c r="Y14" s="131">
        <f t="shared" si="1"/>
        <v>9944</v>
      </c>
    </row>
    <row r="15" spans="1:25" x14ac:dyDescent="0.25">
      <c r="A15" s="55">
        <v>15</v>
      </c>
      <c r="B15" s="257" t="s">
        <v>214</v>
      </c>
      <c r="C15" s="56" t="s">
        <v>231</v>
      </c>
      <c r="D15" s="125">
        <v>1757</v>
      </c>
      <c r="E15" s="125">
        <v>1757</v>
      </c>
      <c r="F15" s="125">
        <v>343</v>
      </c>
      <c r="G15" s="125">
        <v>343</v>
      </c>
      <c r="H15" s="125">
        <v>462</v>
      </c>
      <c r="I15" s="125">
        <v>462</v>
      </c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2">
        <f t="shared" si="0"/>
        <v>2562</v>
      </c>
      <c r="W15" s="258">
        <v>5328</v>
      </c>
      <c r="X15" s="259">
        <v>5274</v>
      </c>
      <c r="Y15" s="131">
        <f t="shared" si="1"/>
        <v>2562</v>
      </c>
    </row>
    <row r="16" spans="1:25" x14ac:dyDescent="0.25">
      <c r="A16" s="55">
        <v>17</v>
      </c>
      <c r="B16" s="257" t="s">
        <v>214</v>
      </c>
      <c r="C16" s="56" t="s">
        <v>268</v>
      </c>
      <c r="D16" s="125"/>
      <c r="E16" s="125"/>
      <c r="F16" s="125"/>
      <c r="G16" s="125"/>
      <c r="H16" s="125">
        <v>1430</v>
      </c>
      <c r="I16" s="125">
        <v>1430</v>
      </c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2">
        <f>T16+R16+P16+N16+L16+J16+H16+F16+D16</f>
        <v>1430</v>
      </c>
      <c r="W16" s="258"/>
      <c r="X16" s="259">
        <v>1722</v>
      </c>
      <c r="Y16" s="131">
        <f t="shared" si="1"/>
        <v>1430</v>
      </c>
    </row>
    <row r="17" spans="1:25" x14ac:dyDescent="0.25">
      <c r="A17" s="55">
        <v>18</v>
      </c>
      <c r="B17" s="257"/>
      <c r="C17" s="283" t="s">
        <v>253</v>
      </c>
      <c r="D17" s="122">
        <f t="shared" ref="D17:Y17" si="2">SUM(D5:D16)</f>
        <v>81168</v>
      </c>
      <c r="E17" s="122">
        <f t="shared" ref="E17" si="3">SUM(E5:E16)</f>
        <v>92683</v>
      </c>
      <c r="F17" s="122">
        <f t="shared" si="2"/>
        <v>15783</v>
      </c>
      <c r="G17" s="122">
        <f t="shared" ref="G17" si="4">SUM(G5:G16)</f>
        <v>18030.826000000001</v>
      </c>
      <c r="H17" s="122">
        <f t="shared" si="2"/>
        <v>46957</v>
      </c>
      <c r="I17" s="122">
        <f t="shared" ref="I17" si="5">SUM(I5:I16)</f>
        <v>46957</v>
      </c>
      <c r="J17" s="122">
        <f t="shared" si="2"/>
        <v>0</v>
      </c>
      <c r="K17" s="122">
        <f t="shared" ref="K17" si="6">SUM(K5:K16)</f>
        <v>0</v>
      </c>
      <c r="L17" s="122">
        <f t="shared" si="2"/>
        <v>120</v>
      </c>
      <c r="M17" s="122">
        <f t="shared" ref="M17" si="7">SUM(M5:M16)</f>
        <v>120</v>
      </c>
      <c r="N17" s="122">
        <f t="shared" si="2"/>
        <v>127</v>
      </c>
      <c r="O17" s="122">
        <f t="shared" ref="O17" si="8">SUM(O5:O16)</f>
        <v>397</v>
      </c>
      <c r="P17" s="122">
        <f t="shared" si="2"/>
        <v>0</v>
      </c>
      <c r="Q17" s="122">
        <f t="shared" ref="Q17" si="9">SUM(Q5:Q16)</f>
        <v>0</v>
      </c>
      <c r="R17" s="122">
        <f t="shared" si="2"/>
        <v>0</v>
      </c>
      <c r="S17" s="122">
        <f t="shared" ref="S17" si="10">SUM(S5:S16)</f>
        <v>0</v>
      </c>
      <c r="T17" s="122">
        <f t="shared" si="2"/>
        <v>0</v>
      </c>
      <c r="U17" s="122">
        <f t="shared" ref="U17" si="11">SUM(U5:U16)</f>
        <v>0</v>
      </c>
      <c r="V17" s="122">
        <f t="shared" si="2"/>
        <v>144155</v>
      </c>
      <c r="W17" s="122">
        <f t="shared" si="2"/>
        <v>123719</v>
      </c>
      <c r="X17" s="122">
        <f t="shared" si="2"/>
        <v>123639</v>
      </c>
      <c r="Y17" s="122">
        <f t="shared" si="2"/>
        <v>158187.826</v>
      </c>
    </row>
    <row r="18" spans="1:25" x14ac:dyDescent="0.25">
      <c r="A18" s="55">
        <v>19</v>
      </c>
      <c r="B18" s="257"/>
      <c r="C18" s="67" t="s">
        <v>239</v>
      </c>
      <c r="D18" s="127">
        <f>SUMIF($B5:$B16,"kötelező",D5:D16)</f>
        <v>31290</v>
      </c>
      <c r="E18" s="127">
        <f>SUMIF($B5:$B16,"kötelező",E5:E16)</f>
        <v>37046.399999999994</v>
      </c>
      <c r="F18" s="127">
        <f t="shared" ref="F18:Y18" si="12">SUMIF($B5:$B15,"kötelező",F5:F15)</f>
        <v>6095</v>
      </c>
      <c r="G18" s="127">
        <f t="shared" ref="G18" si="13">SUMIF($B5:$B15,"kötelező",G5:G15)</f>
        <v>7220.1270000000004</v>
      </c>
      <c r="H18" s="127">
        <f t="shared" si="12"/>
        <v>14365</v>
      </c>
      <c r="I18" s="127">
        <f t="shared" ref="I18" si="14">SUMIF($B5:$B15,"kötelező",I5:I15)</f>
        <v>14365</v>
      </c>
      <c r="J18" s="127">
        <f t="shared" si="12"/>
        <v>0</v>
      </c>
      <c r="K18" s="127">
        <f t="shared" ref="K18" si="15">SUMIF($B5:$B15,"kötelező",K5:K15)</f>
        <v>0</v>
      </c>
      <c r="L18" s="127">
        <f t="shared" si="12"/>
        <v>120</v>
      </c>
      <c r="M18" s="127">
        <f t="shared" ref="M18" si="16">SUMIF($B5:$B15,"kötelező",M5:M15)</f>
        <v>120</v>
      </c>
      <c r="N18" s="127">
        <f t="shared" si="12"/>
        <v>127</v>
      </c>
      <c r="O18" s="127">
        <f t="shared" ref="O18" si="17">SUMIF($B5:$B15,"kötelező",O5:O15)</f>
        <v>60</v>
      </c>
      <c r="P18" s="127">
        <f t="shared" si="12"/>
        <v>0</v>
      </c>
      <c r="Q18" s="127">
        <f t="shared" ref="Q18" si="18">SUMIF($B5:$B15,"kötelező",Q5:Q15)</f>
        <v>0</v>
      </c>
      <c r="R18" s="127">
        <f t="shared" si="12"/>
        <v>0</v>
      </c>
      <c r="S18" s="127">
        <f t="shared" ref="S18" si="19">SUMIF($B5:$B15,"kötelező",S5:S15)</f>
        <v>0</v>
      </c>
      <c r="T18" s="127">
        <f t="shared" si="12"/>
        <v>0</v>
      </c>
      <c r="U18" s="127">
        <f t="shared" ref="U18" si="20">SUMIF($B5:$B15,"kötelező",U5:U15)</f>
        <v>0</v>
      </c>
      <c r="V18" s="127">
        <f t="shared" si="12"/>
        <v>51997</v>
      </c>
      <c r="W18" s="127">
        <f t="shared" si="12"/>
        <v>52221</v>
      </c>
      <c r="X18" s="127">
        <f t="shared" si="12"/>
        <v>52019</v>
      </c>
      <c r="Y18" s="127">
        <f t="shared" si="12"/>
        <v>58811.527000000002</v>
      </c>
    </row>
    <row r="19" spans="1:25" x14ac:dyDescent="0.25">
      <c r="A19" s="55">
        <v>20</v>
      </c>
      <c r="B19" s="257"/>
      <c r="C19" s="67" t="s">
        <v>240</v>
      </c>
      <c r="D19" s="127">
        <f t="shared" ref="D19:Y19" si="21">SUMIF($B5:$B16,"nem kötelező",D5:D16)</f>
        <v>49878</v>
      </c>
      <c r="E19" s="127">
        <f t="shared" ref="E19" si="22">SUMIF($B5:$B16,"nem kötelező",E5:E16)</f>
        <v>55636.6</v>
      </c>
      <c r="F19" s="127">
        <f t="shared" si="21"/>
        <v>9688</v>
      </c>
      <c r="G19" s="127">
        <f t="shared" ref="G19" si="23">SUMIF($B5:$B16,"nem kötelező",G5:G16)</f>
        <v>10810.698999999999</v>
      </c>
      <c r="H19" s="127">
        <f t="shared" si="21"/>
        <v>32592</v>
      </c>
      <c r="I19" s="127">
        <f t="shared" ref="I19" si="24">SUMIF($B5:$B16,"nem kötelező",I5:I16)</f>
        <v>32592</v>
      </c>
      <c r="J19" s="127">
        <f t="shared" si="21"/>
        <v>0</v>
      </c>
      <c r="K19" s="127">
        <f t="shared" ref="K19" si="25">SUMIF($B5:$B16,"nem kötelező",K5:K16)</f>
        <v>0</v>
      </c>
      <c r="L19" s="127">
        <f t="shared" si="21"/>
        <v>0</v>
      </c>
      <c r="M19" s="127">
        <f t="shared" ref="M19" si="26">SUMIF($B5:$B16,"nem kötelező",M5:M16)</f>
        <v>0</v>
      </c>
      <c r="N19" s="127">
        <f t="shared" si="21"/>
        <v>0</v>
      </c>
      <c r="O19" s="127">
        <f t="shared" ref="O19" si="27">SUMIF($B5:$B16,"nem kötelező",O5:O16)</f>
        <v>337</v>
      </c>
      <c r="P19" s="127">
        <f t="shared" si="21"/>
        <v>0</v>
      </c>
      <c r="Q19" s="127">
        <f t="shared" ref="Q19" si="28">SUMIF($B5:$B16,"nem kötelező",Q5:Q16)</f>
        <v>0</v>
      </c>
      <c r="R19" s="127">
        <f t="shared" si="21"/>
        <v>0</v>
      </c>
      <c r="S19" s="127">
        <f t="shared" ref="S19" si="29">SUMIF($B5:$B16,"nem kötelező",S5:S16)</f>
        <v>0</v>
      </c>
      <c r="T19" s="127">
        <f t="shared" si="21"/>
        <v>0</v>
      </c>
      <c r="U19" s="127">
        <f t="shared" ref="U19" si="30">SUMIF($B5:$B16,"nem kötelező",U5:U16)</f>
        <v>0</v>
      </c>
      <c r="V19" s="127">
        <f t="shared" si="21"/>
        <v>92158</v>
      </c>
      <c r="W19" s="127">
        <f t="shared" si="21"/>
        <v>71498</v>
      </c>
      <c r="X19" s="127">
        <f t="shared" si="21"/>
        <v>71620</v>
      </c>
      <c r="Y19" s="127">
        <f t="shared" si="21"/>
        <v>99376.298999999999</v>
      </c>
    </row>
    <row r="20" spans="1:25" x14ac:dyDescent="0.25">
      <c r="A20" s="55">
        <v>21</v>
      </c>
      <c r="B20" s="257"/>
      <c r="C20" s="67" t="s">
        <v>301</v>
      </c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134">
        <v>31</v>
      </c>
      <c r="W20" s="134">
        <v>30</v>
      </c>
      <c r="X20" s="134">
        <v>30</v>
      </c>
      <c r="Y20" s="134">
        <v>31</v>
      </c>
    </row>
    <row r="21" spans="1:25" x14ac:dyDescent="0.25">
      <c r="A21" s="55">
        <v>22</v>
      </c>
      <c r="B21" s="257"/>
      <c r="C21" s="67" t="s">
        <v>299</v>
      </c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>
        <v>0</v>
      </c>
      <c r="W21" s="258">
        <v>0</v>
      </c>
      <c r="X21" s="258">
        <v>0</v>
      </c>
      <c r="Y21" s="258">
        <v>0</v>
      </c>
    </row>
  </sheetData>
  <mergeCells count="12">
    <mergeCell ref="P1:V1"/>
    <mergeCell ref="C2:Y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Y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1"/>
  <sheetViews>
    <sheetView view="pageBreakPreview" topLeftCell="D1" zoomScaleNormal="100" zoomScaleSheetLayoutView="100" workbookViewId="0">
      <selection activeCell="I25" sqref="I25"/>
    </sheetView>
  </sheetViews>
  <sheetFormatPr defaultRowHeight="15" x14ac:dyDescent="0.25"/>
  <cols>
    <col min="1" max="1" width="9.140625" style="59"/>
    <col min="2" max="2" width="14" style="256" customWidth="1"/>
    <col min="3" max="3" width="29.42578125" style="59" bestFit="1" customWidth="1"/>
    <col min="4" max="13" width="12.7109375" style="59" customWidth="1"/>
    <col min="14" max="15" width="14.42578125" style="59" customWidth="1"/>
    <col min="16" max="22" width="12.7109375" style="59" customWidth="1"/>
    <col min="23" max="23" width="0" style="59" hidden="1" customWidth="1"/>
    <col min="24" max="24" width="11.28515625" style="59" hidden="1" customWidth="1"/>
    <col min="25" max="25" width="11.28515625" style="59" bestFit="1" customWidth="1"/>
    <col min="26" max="16384" width="9.140625" style="59"/>
  </cols>
  <sheetData>
    <row r="1" spans="1:25" x14ac:dyDescent="0.25">
      <c r="P1" s="390" t="s">
        <v>428</v>
      </c>
      <c r="Q1" s="390"/>
      <c r="R1" s="390"/>
      <c r="S1" s="390"/>
      <c r="T1" s="390"/>
      <c r="U1" s="390"/>
      <c r="V1" s="390"/>
    </row>
    <row r="2" spans="1:25" ht="42" customHeight="1" x14ac:dyDescent="0.25">
      <c r="A2" s="55">
        <v>1</v>
      </c>
      <c r="B2" s="257"/>
      <c r="C2" s="391" t="s">
        <v>429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3"/>
    </row>
    <row r="3" spans="1:25" ht="56.25" customHeight="1" x14ac:dyDescent="0.25">
      <c r="A3" s="55">
        <v>2</v>
      </c>
      <c r="B3" s="62" t="s">
        <v>258</v>
      </c>
      <c r="C3" s="63" t="s">
        <v>203</v>
      </c>
      <c r="D3" s="385" t="s">
        <v>90</v>
      </c>
      <c r="E3" s="386"/>
      <c r="F3" s="385" t="s">
        <v>273</v>
      </c>
      <c r="G3" s="386"/>
      <c r="H3" s="385" t="s">
        <v>92</v>
      </c>
      <c r="I3" s="386"/>
      <c r="J3" s="385" t="s">
        <v>274</v>
      </c>
      <c r="K3" s="386"/>
      <c r="L3" s="385" t="s">
        <v>94</v>
      </c>
      <c r="M3" s="386"/>
      <c r="N3" s="385" t="s">
        <v>108</v>
      </c>
      <c r="O3" s="386"/>
      <c r="P3" s="385" t="s">
        <v>111</v>
      </c>
      <c r="Q3" s="386"/>
      <c r="R3" s="385" t="s">
        <v>277</v>
      </c>
      <c r="S3" s="386"/>
      <c r="T3" s="385" t="s">
        <v>297</v>
      </c>
      <c r="U3" s="386"/>
      <c r="V3" s="394" t="s">
        <v>243</v>
      </c>
      <c r="W3" s="394"/>
      <c r="X3" s="394"/>
      <c r="Y3" s="394"/>
    </row>
    <row r="4" spans="1:25" ht="28.5" x14ac:dyDescent="0.25">
      <c r="A4" s="55">
        <v>3</v>
      </c>
      <c r="B4" s="257"/>
      <c r="C4" s="63" t="s">
        <v>251</v>
      </c>
      <c r="D4" s="222" t="s">
        <v>412</v>
      </c>
      <c r="E4" s="64" t="s">
        <v>407</v>
      </c>
      <c r="F4" s="222" t="s">
        <v>412</v>
      </c>
      <c r="G4" s="64" t="s">
        <v>407</v>
      </c>
      <c r="H4" s="222" t="s">
        <v>412</v>
      </c>
      <c r="I4" s="64" t="s">
        <v>407</v>
      </c>
      <c r="J4" s="222" t="s">
        <v>412</v>
      </c>
      <c r="K4" s="64" t="s">
        <v>407</v>
      </c>
      <c r="L4" s="222" t="s">
        <v>412</v>
      </c>
      <c r="M4" s="64" t="s">
        <v>407</v>
      </c>
      <c r="N4" s="222" t="s">
        <v>412</v>
      </c>
      <c r="O4" s="64" t="s">
        <v>407</v>
      </c>
      <c r="P4" s="222" t="s">
        <v>412</v>
      </c>
      <c r="Q4" s="64" t="s">
        <v>407</v>
      </c>
      <c r="R4" s="222" t="s">
        <v>412</v>
      </c>
      <c r="S4" s="64" t="s">
        <v>407</v>
      </c>
      <c r="T4" s="222" t="s">
        <v>412</v>
      </c>
      <c r="U4" s="64" t="s">
        <v>407</v>
      </c>
      <c r="V4" s="222" t="s">
        <v>412</v>
      </c>
      <c r="W4" s="64" t="s">
        <v>407</v>
      </c>
      <c r="X4" s="222" t="s">
        <v>412</v>
      </c>
      <c r="Y4" s="64" t="s">
        <v>407</v>
      </c>
    </row>
    <row r="5" spans="1:25" s="217" customFormat="1" x14ac:dyDescent="0.25">
      <c r="A5" s="55">
        <v>4</v>
      </c>
      <c r="B5" s="261" t="s">
        <v>210</v>
      </c>
      <c r="C5" s="253" t="s">
        <v>269</v>
      </c>
      <c r="D5" s="237">
        <v>76101</v>
      </c>
      <c r="E5" s="272">
        <f>76409.9+28.7</f>
        <v>76438.599999999991</v>
      </c>
      <c r="F5" s="237">
        <v>14932</v>
      </c>
      <c r="G5" s="272">
        <f>14989.5+5.557</f>
        <v>14995.057000000001</v>
      </c>
      <c r="H5" s="237">
        <v>6238</v>
      </c>
      <c r="I5" s="272">
        <f>6294-100</f>
        <v>6194</v>
      </c>
      <c r="J5" s="237"/>
      <c r="K5" s="237"/>
      <c r="L5" s="237"/>
      <c r="M5" s="237"/>
      <c r="N5" s="237">
        <v>127</v>
      </c>
      <c r="O5" s="272">
        <f>127+100</f>
        <v>227</v>
      </c>
      <c r="P5" s="237"/>
      <c r="Q5" s="237"/>
      <c r="R5" s="237"/>
      <c r="S5" s="237"/>
      <c r="T5" s="237"/>
      <c r="U5" s="237"/>
      <c r="V5" s="254">
        <f>D5+F5+H5+J5+L5+N5+P5+R5</f>
        <v>97398</v>
      </c>
      <c r="W5" s="254">
        <f t="shared" ref="W5:X6" si="0">E5+G5+I5+K5+M5+O5+Q5+S5</f>
        <v>97854.656999999992</v>
      </c>
      <c r="X5" s="254">
        <f t="shared" si="0"/>
        <v>21297</v>
      </c>
      <c r="Y5" s="254">
        <f>E5+G5+I5+K5+M5+O5+Q5+S5</f>
        <v>97854.656999999992</v>
      </c>
    </row>
    <row r="6" spans="1:25" s="217" customFormat="1" ht="25.5" x14ac:dyDescent="0.25">
      <c r="A6" s="55">
        <v>5</v>
      </c>
      <c r="B6" s="261" t="s">
        <v>214</v>
      </c>
      <c r="C6" s="262" t="s">
        <v>302</v>
      </c>
      <c r="D6" s="237">
        <v>125</v>
      </c>
      <c r="E6" s="237">
        <v>125</v>
      </c>
      <c r="F6" s="237">
        <v>20</v>
      </c>
      <c r="G6" s="237">
        <v>20</v>
      </c>
      <c r="H6" s="237">
        <v>25</v>
      </c>
      <c r="I6" s="237">
        <v>25</v>
      </c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54">
        <f>D6+F6+H6+J6+L6+N6+P6+R6</f>
        <v>170</v>
      </c>
      <c r="W6" s="254">
        <f t="shared" si="0"/>
        <v>170</v>
      </c>
      <c r="X6" s="254">
        <f t="shared" si="0"/>
        <v>45</v>
      </c>
      <c r="Y6" s="254">
        <f>E6+G6+I6+K6+M6+O6+Q6+S6</f>
        <v>170</v>
      </c>
    </row>
    <row r="7" spans="1:25" x14ac:dyDescent="0.25">
      <c r="A7" s="55">
        <v>6</v>
      </c>
      <c r="B7" s="263"/>
      <c r="C7" s="260" t="s">
        <v>253</v>
      </c>
      <c r="D7" s="122">
        <f t="shared" ref="D7:V7" si="1">SUM(D5:D6)</f>
        <v>76226</v>
      </c>
      <c r="E7" s="122">
        <f t="shared" si="1"/>
        <v>76563.599999999991</v>
      </c>
      <c r="F7" s="122">
        <f t="shared" si="1"/>
        <v>14952</v>
      </c>
      <c r="G7" s="122">
        <f t="shared" si="1"/>
        <v>15015.057000000001</v>
      </c>
      <c r="H7" s="122">
        <f t="shared" si="1"/>
        <v>6263</v>
      </c>
      <c r="I7" s="122">
        <f t="shared" ref="I7" si="2">SUM(I5:I6)</f>
        <v>6219</v>
      </c>
      <c r="J7" s="122">
        <f t="shared" si="1"/>
        <v>0</v>
      </c>
      <c r="K7" s="122">
        <f t="shared" ref="K7" si="3">SUM(K5:K6)</f>
        <v>0</v>
      </c>
      <c r="L7" s="122">
        <f t="shared" si="1"/>
        <v>0</v>
      </c>
      <c r="M7" s="122">
        <f t="shared" ref="M7" si="4">SUM(M5:M6)</f>
        <v>0</v>
      </c>
      <c r="N7" s="122">
        <f t="shared" si="1"/>
        <v>127</v>
      </c>
      <c r="O7" s="122">
        <f t="shared" ref="O7" si="5">SUM(O5:O6)</f>
        <v>227</v>
      </c>
      <c r="P7" s="122">
        <f t="shared" si="1"/>
        <v>0</v>
      </c>
      <c r="Q7" s="122">
        <f t="shared" ref="Q7" si="6">SUM(Q5:Q6)</f>
        <v>0</v>
      </c>
      <c r="R7" s="122">
        <f t="shared" si="1"/>
        <v>0</v>
      </c>
      <c r="S7" s="122">
        <f t="shared" ref="S7" si="7">SUM(S5:S6)</f>
        <v>0</v>
      </c>
      <c r="T7" s="122">
        <f t="shared" si="1"/>
        <v>0</v>
      </c>
      <c r="U7" s="122">
        <f t="shared" ref="U7" si="8">SUM(U5:U6)</f>
        <v>0</v>
      </c>
      <c r="V7" s="122">
        <f t="shared" si="1"/>
        <v>97568</v>
      </c>
      <c r="W7" s="122">
        <f t="shared" ref="W7:Y7" si="9">SUM(W5:W6)</f>
        <v>98024.656999999992</v>
      </c>
      <c r="X7" s="122">
        <f t="shared" si="9"/>
        <v>21342</v>
      </c>
      <c r="Y7" s="122">
        <f t="shared" si="9"/>
        <v>98024.656999999992</v>
      </c>
    </row>
    <row r="8" spans="1:25" x14ac:dyDescent="0.25">
      <c r="A8" s="55">
        <v>7</v>
      </c>
      <c r="B8" s="263"/>
      <c r="C8" s="72" t="s">
        <v>239</v>
      </c>
      <c r="D8" s="127">
        <f t="shared" ref="D8:V8" si="10">SUMIF($B5:$B6,"kötelező",D5:D6)</f>
        <v>76101</v>
      </c>
      <c r="E8" s="127">
        <f t="shared" si="10"/>
        <v>76438.599999999991</v>
      </c>
      <c r="F8" s="127">
        <f t="shared" si="10"/>
        <v>14932</v>
      </c>
      <c r="G8" s="127">
        <f t="shared" si="10"/>
        <v>14995.057000000001</v>
      </c>
      <c r="H8" s="127">
        <f t="shared" si="10"/>
        <v>6238</v>
      </c>
      <c r="I8" s="127">
        <f t="shared" ref="I8" si="11">SUMIF($B5:$B6,"kötelező",I5:I6)</f>
        <v>6194</v>
      </c>
      <c r="J8" s="127">
        <f t="shared" si="10"/>
        <v>0</v>
      </c>
      <c r="K8" s="127">
        <f t="shared" ref="K8" si="12">SUMIF($B5:$B6,"kötelező",K5:K6)</f>
        <v>0</v>
      </c>
      <c r="L8" s="127">
        <f t="shared" si="10"/>
        <v>0</v>
      </c>
      <c r="M8" s="127">
        <f t="shared" ref="M8" si="13">SUMIF($B5:$B6,"kötelező",M5:M6)</f>
        <v>0</v>
      </c>
      <c r="N8" s="127">
        <f t="shared" si="10"/>
        <v>127</v>
      </c>
      <c r="O8" s="127">
        <f t="shared" ref="O8" si="14">SUMIF($B5:$B6,"kötelező",O5:O6)</f>
        <v>227</v>
      </c>
      <c r="P8" s="127">
        <f t="shared" si="10"/>
        <v>0</v>
      </c>
      <c r="Q8" s="127">
        <f t="shared" ref="Q8" si="15">SUMIF($B5:$B6,"kötelező",Q5:Q6)</f>
        <v>0</v>
      </c>
      <c r="R8" s="127">
        <f t="shared" si="10"/>
        <v>0</v>
      </c>
      <c r="S8" s="127">
        <f t="shared" ref="S8" si="16">SUMIF($B5:$B6,"kötelező",S5:S6)</f>
        <v>0</v>
      </c>
      <c r="T8" s="127">
        <f t="shared" si="10"/>
        <v>0</v>
      </c>
      <c r="U8" s="127">
        <f t="shared" ref="U8" si="17">SUMIF($B5:$B6,"kötelező",U5:U6)</f>
        <v>0</v>
      </c>
      <c r="V8" s="127">
        <f t="shared" si="10"/>
        <v>97398</v>
      </c>
      <c r="W8" s="127">
        <f t="shared" ref="W8:Y8" si="18">SUMIF($B5:$B6,"kötelező",W5:W6)</f>
        <v>97854.656999999992</v>
      </c>
      <c r="X8" s="127">
        <f t="shared" si="18"/>
        <v>21297</v>
      </c>
      <c r="Y8" s="127">
        <f t="shared" si="18"/>
        <v>97854.656999999992</v>
      </c>
    </row>
    <row r="9" spans="1:25" x14ac:dyDescent="0.25">
      <c r="A9" s="55">
        <v>8</v>
      </c>
      <c r="B9" s="263"/>
      <c r="C9" s="72" t="s">
        <v>240</v>
      </c>
      <c r="D9" s="127">
        <f t="shared" ref="D9:V9" si="19">SUMIF($B5:$B6,"nem kötelező",D5:D6)</f>
        <v>125</v>
      </c>
      <c r="E9" s="127">
        <f t="shared" si="19"/>
        <v>125</v>
      </c>
      <c r="F9" s="127">
        <f t="shared" si="19"/>
        <v>20</v>
      </c>
      <c r="G9" s="127">
        <f t="shared" si="19"/>
        <v>20</v>
      </c>
      <c r="H9" s="127">
        <f t="shared" si="19"/>
        <v>25</v>
      </c>
      <c r="I9" s="127">
        <f t="shared" ref="I9" si="20">SUMIF($B5:$B6,"nem kötelező",I5:I6)</f>
        <v>25</v>
      </c>
      <c r="J9" s="127">
        <f t="shared" si="19"/>
        <v>0</v>
      </c>
      <c r="K9" s="127">
        <f t="shared" ref="K9" si="21">SUMIF($B5:$B6,"nem kötelező",K5:K6)</f>
        <v>0</v>
      </c>
      <c r="L9" s="127">
        <f t="shared" si="19"/>
        <v>0</v>
      </c>
      <c r="M9" s="127">
        <f t="shared" ref="M9" si="22">SUMIF($B5:$B6,"nem kötelező",M5:M6)</f>
        <v>0</v>
      </c>
      <c r="N9" s="127">
        <f t="shared" si="19"/>
        <v>0</v>
      </c>
      <c r="O9" s="127">
        <f t="shared" ref="O9" si="23">SUMIF($B5:$B6,"nem kötelező",O5:O6)</f>
        <v>0</v>
      </c>
      <c r="P9" s="127">
        <f t="shared" si="19"/>
        <v>0</v>
      </c>
      <c r="Q9" s="127">
        <f t="shared" ref="Q9" si="24">SUMIF($B5:$B6,"nem kötelező",Q5:Q6)</f>
        <v>0</v>
      </c>
      <c r="R9" s="127">
        <f t="shared" si="19"/>
        <v>0</v>
      </c>
      <c r="S9" s="127">
        <f t="shared" ref="S9" si="25">SUMIF($B5:$B6,"nem kötelező",S5:S6)</f>
        <v>0</v>
      </c>
      <c r="T9" s="127">
        <f t="shared" si="19"/>
        <v>0</v>
      </c>
      <c r="U9" s="127">
        <f t="shared" ref="U9" si="26">SUMIF($B5:$B6,"nem kötelező",U5:U6)</f>
        <v>0</v>
      </c>
      <c r="V9" s="127">
        <f t="shared" si="19"/>
        <v>170</v>
      </c>
      <c r="W9" s="127">
        <f t="shared" ref="W9:Y9" si="27">SUMIF($B5:$B6,"nem kötelező",W5:W6)</f>
        <v>170</v>
      </c>
      <c r="X9" s="127">
        <f t="shared" si="27"/>
        <v>45</v>
      </c>
      <c r="Y9" s="127">
        <f t="shared" si="27"/>
        <v>170</v>
      </c>
    </row>
    <row r="10" spans="1:25" x14ac:dyDescent="0.25">
      <c r="A10" s="55">
        <v>9</v>
      </c>
      <c r="B10" s="263"/>
      <c r="C10" s="264" t="s">
        <v>303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57">
        <v>23</v>
      </c>
      <c r="W10" s="57">
        <v>23</v>
      </c>
      <c r="X10" s="57">
        <v>23</v>
      </c>
      <c r="Y10" s="57">
        <v>23</v>
      </c>
    </row>
    <row r="11" spans="1:25" x14ac:dyDescent="0.25">
      <c r="A11" s="55">
        <v>10</v>
      </c>
      <c r="B11" s="263"/>
      <c r="C11" s="72" t="s">
        <v>299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6">
        <v>0</v>
      </c>
      <c r="W11" s="266">
        <v>0</v>
      </c>
      <c r="X11" s="266">
        <v>0</v>
      </c>
      <c r="Y11" s="266">
        <v>0</v>
      </c>
    </row>
  </sheetData>
  <mergeCells count="12">
    <mergeCell ref="P1:V1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Y3"/>
    <mergeCell ref="C2:Y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8"/>
  <sheetViews>
    <sheetView view="pageBreakPreview" topLeftCell="D1" zoomScaleNormal="100" zoomScaleSheetLayoutView="100" workbookViewId="0">
      <selection activeCell="G13" sqref="G13"/>
    </sheetView>
  </sheetViews>
  <sheetFormatPr defaultRowHeight="15" x14ac:dyDescent="0.25"/>
  <cols>
    <col min="1" max="1" width="5.5703125" style="59" customWidth="1"/>
    <col min="2" max="2" width="14" style="256" customWidth="1"/>
    <col min="3" max="3" width="29.28515625" style="59" customWidth="1"/>
    <col min="4" max="13" width="12.28515625" style="59" customWidth="1"/>
    <col min="14" max="15" width="14.28515625" style="59" customWidth="1"/>
    <col min="16" max="22" width="12.28515625" style="59" customWidth="1"/>
    <col min="23" max="23" width="11.85546875" style="77" hidden="1" customWidth="1"/>
    <col min="24" max="24" width="12" style="59" hidden="1" customWidth="1"/>
    <col min="25" max="25" width="11.28515625" style="59" bestFit="1" customWidth="1"/>
    <col min="26" max="16384" width="9.140625" style="59"/>
  </cols>
  <sheetData>
    <row r="1" spans="1:25" x14ac:dyDescent="0.25">
      <c r="P1" s="390" t="s">
        <v>430</v>
      </c>
      <c r="Q1" s="390"/>
      <c r="R1" s="390"/>
      <c r="S1" s="390"/>
      <c r="T1" s="390"/>
      <c r="U1" s="390"/>
      <c r="V1" s="390"/>
    </row>
    <row r="2" spans="1:25" x14ac:dyDescent="0.25">
      <c r="A2" s="55"/>
      <c r="B2" s="55" t="s">
        <v>148</v>
      </c>
      <c r="C2" s="55" t="s">
        <v>170</v>
      </c>
      <c r="D2" s="55" t="s">
        <v>149</v>
      </c>
      <c r="E2" s="55"/>
      <c r="F2" s="55" t="s">
        <v>150</v>
      </c>
      <c r="G2" s="55"/>
      <c r="H2" s="55" t="s">
        <v>151</v>
      </c>
      <c r="I2" s="55"/>
      <c r="J2" s="55" t="s">
        <v>189</v>
      </c>
      <c r="K2" s="55"/>
      <c r="L2" s="55" t="s">
        <v>198</v>
      </c>
      <c r="M2" s="55"/>
      <c r="N2" s="55" t="s">
        <v>199</v>
      </c>
      <c r="O2" s="55"/>
      <c r="P2" s="55" t="s">
        <v>200</v>
      </c>
      <c r="Q2" s="55"/>
      <c r="R2" s="55" t="s">
        <v>201</v>
      </c>
      <c r="S2" s="55"/>
      <c r="T2" s="55" t="s">
        <v>272</v>
      </c>
      <c r="U2" s="55"/>
      <c r="V2" s="55" t="s">
        <v>255</v>
      </c>
      <c r="Y2" s="67"/>
    </row>
    <row r="3" spans="1:25" ht="42.75" customHeight="1" x14ac:dyDescent="0.25">
      <c r="A3" s="55">
        <v>1</v>
      </c>
      <c r="B3" s="391" t="s">
        <v>431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3"/>
    </row>
    <row r="4" spans="1:25" ht="93" customHeight="1" x14ac:dyDescent="0.25">
      <c r="A4" s="55">
        <v>2</v>
      </c>
      <c r="B4" s="62" t="s">
        <v>258</v>
      </c>
      <c r="C4" s="63" t="s">
        <v>203</v>
      </c>
      <c r="D4" s="385" t="s">
        <v>90</v>
      </c>
      <c r="E4" s="386"/>
      <c r="F4" s="385" t="s">
        <v>273</v>
      </c>
      <c r="G4" s="386"/>
      <c r="H4" s="385" t="s">
        <v>92</v>
      </c>
      <c r="I4" s="386"/>
      <c r="J4" s="385" t="s">
        <v>274</v>
      </c>
      <c r="K4" s="386"/>
      <c r="L4" s="385" t="s">
        <v>318</v>
      </c>
      <c r="M4" s="386"/>
      <c r="N4" s="385" t="s">
        <v>108</v>
      </c>
      <c r="O4" s="386"/>
      <c r="P4" s="385" t="s">
        <v>111</v>
      </c>
      <c r="Q4" s="386"/>
      <c r="R4" s="385" t="s">
        <v>277</v>
      </c>
      <c r="S4" s="386"/>
      <c r="T4" s="385" t="s">
        <v>297</v>
      </c>
      <c r="U4" s="386"/>
      <c r="V4" s="394" t="s">
        <v>243</v>
      </c>
      <c r="W4" s="394"/>
      <c r="X4" s="394"/>
      <c r="Y4" s="394"/>
    </row>
    <row r="5" spans="1:25" ht="28.5" x14ac:dyDescent="0.25">
      <c r="A5" s="55">
        <v>3</v>
      </c>
      <c r="B5" s="257"/>
      <c r="C5" s="63" t="s">
        <v>251</v>
      </c>
      <c r="D5" s="280" t="s">
        <v>412</v>
      </c>
      <c r="E5" s="64" t="s">
        <v>407</v>
      </c>
      <c r="F5" s="280" t="s">
        <v>412</v>
      </c>
      <c r="G5" s="64" t="s">
        <v>407</v>
      </c>
      <c r="H5" s="280" t="s">
        <v>412</v>
      </c>
      <c r="I5" s="64" t="s">
        <v>407</v>
      </c>
      <c r="J5" s="280" t="s">
        <v>412</v>
      </c>
      <c r="K5" s="64" t="s">
        <v>407</v>
      </c>
      <c r="L5" s="280" t="s">
        <v>412</v>
      </c>
      <c r="M5" s="64" t="s">
        <v>407</v>
      </c>
      <c r="N5" s="280" t="s">
        <v>412</v>
      </c>
      <c r="O5" s="64" t="s">
        <v>407</v>
      </c>
      <c r="P5" s="280" t="s">
        <v>412</v>
      </c>
      <c r="Q5" s="64" t="s">
        <v>407</v>
      </c>
      <c r="R5" s="280" t="s">
        <v>412</v>
      </c>
      <c r="S5" s="64" t="s">
        <v>407</v>
      </c>
      <c r="T5" s="280" t="s">
        <v>412</v>
      </c>
      <c r="U5" s="64" t="s">
        <v>407</v>
      </c>
      <c r="V5" s="280" t="s">
        <v>412</v>
      </c>
      <c r="W5" s="64" t="s">
        <v>407</v>
      </c>
      <c r="X5" s="280" t="s">
        <v>412</v>
      </c>
      <c r="Y5" s="64" t="s">
        <v>407</v>
      </c>
    </row>
    <row r="6" spans="1:25" x14ac:dyDescent="0.25">
      <c r="A6" s="55">
        <v>4</v>
      </c>
      <c r="B6" s="257" t="s">
        <v>210</v>
      </c>
      <c r="C6" s="56" t="s">
        <v>351</v>
      </c>
      <c r="D6" s="125">
        <v>9919</v>
      </c>
      <c r="E6" s="286">
        <f>9919+664.53+248.2+1186.8</f>
        <v>12018.53</v>
      </c>
      <c r="F6" s="125">
        <v>1784</v>
      </c>
      <c r="G6" s="125">
        <f>1784+129.583</f>
        <v>1913.5830000000001</v>
      </c>
      <c r="H6" s="237">
        <v>4268</v>
      </c>
      <c r="I6" s="237">
        <f>4462.204-100</f>
        <v>4362.2039999999997</v>
      </c>
      <c r="J6" s="125"/>
      <c r="K6" s="125"/>
      <c r="L6" s="125"/>
      <c r="M6" s="125"/>
      <c r="N6" s="125">
        <v>127</v>
      </c>
      <c r="O6" s="125">
        <v>227</v>
      </c>
      <c r="P6" s="125"/>
      <c r="Q6" s="125"/>
      <c r="R6" s="125"/>
      <c r="S6" s="125"/>
      <c r="T6" s="125"/>
      <c r="U6" s="125"/>
      <c r="V6" s="122">
        <f>T6+R6+P6+N6+L6+J6+H6+F6+D6</f>
        <v>16098</v>
      </c>
      <c r="W6" s="258">
        <v>11317</v>
      </c>
      <c r="X6" s="259">
        <v>10318</v>
      </c>
      <c r="Y6" s="131">
        <f>E6+G6+I6+K6+M6+O6+Q6+S6+U6</f>
        <v>18521.317000000003</v>
      </c>
    </row>
    <row r="7" spans="1:25" x14ac:dyDescent="0.25">
      <c r="A7" s="55">
        <v>6</v>
      </c>
      <c r="B7" s="257" t="s">
        <v>214</v>
      </c>
      <c r="C7" s="56" t="s">
        <v>352</v>
      </c>
      <c r="D7" s="125"/>
      <c r="E7" s="125"/>
      <c r="F7" s="125"/>
      <c r="G7" s="125"/>
      <c r="H7" s="125">
        <v>75</v>
      </c>
      <c r="I7" s="125">
        <v>75</v>
      </c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2">
        <f t="shared" ref="V7:V13" si="0">T7+R7+P7+N7+L7+J7+H7+F7+D7</f>
        <v>75</v>
      </c>
      <c r="W7" s="258">
        <v>173</v>
      </c>
      <c r="X7" s="259">
        <v>211</v>
      </c>
      <c r="Y7" s="131">
        <f t="shared" ref="Y7:Y13" si="1">E7+G7+I7+K7+M7+O7+Q7+S7+U7</f>
        <v>75</v>
      </c>
    </row>
    <row r="8" spans="1:25" x14ac:dyDescent="0.25">
      <c r="A8" s="55">
        <v>7</v>
      </c>
      <c r="B8" s="257" t="s">
        <v>214</v>
      </c>
      <c r="C8" s="56" t="s">
        <v>353</v>
      </c>
      <c r="D8" s="125"/>
      <c r="E8" s="125"/>
      <c r="F8" s="125"/>
      <c r="G8" s="125"/>
      <c r="H8" s="125">
        <v>1028</v>
      </c>
      <c r="I8" s="125">
        <v>1028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2">
        <f t="shared" si="0"/>
        <v>1028</v>
      </c>
      <c r="W8" s="258">
        <v>3044</v>
      </c>
      <c r="X8" s="259">
        <v>2528</v>
      </c>
      <c r="Y8" s="131">
        <f t="shared" si="1"/>
        <v>1028</v>
      </c>
    </row>
    <row r="9" spans="1:25" x14ac:dyDescent="0.25">
      <c r="A9" s="55">
        <v>8</v>
      </c>
      <c r="B9" s="257" t="s">
        <v>214</v>
      </c>
      <c r="C9" s="56" t="s">
        <v>354</v>
      </c>
      <c r="D9" s="125">
        <v>1389</v>
      </c>
      <c r="E9" s="125">
        <v>1389</v>
      </c>
      <c r="F9" s="125">
        <v>527</v>
      </c>
      <c r="G9" s="125">
        <v>527</v>
      </c>
      <c r="H9" s="125">
        <v>774</v>
      </c>
      <c r="I9" s="125">
        <v>774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2">
        <f t="shared" si="0"/>
        <v>2690</v>
      </c>
      <c r="W9" s="258">
        <v>6614</v>
      </c>
      <c r="X9" s="259">
        <v>6801</v>
      </c>
      <c r="Y9" s="131">
        <f t="shared" si="1"/>
        <v>2690</v>
      </c>
    </row>
    <row r="10" spans="1:25" x14ac:dyDescent="0.25">
      <c r="A10" s="55"/>
      <c r="B10" s="257" t="s">
        <v>214</v>
      </c>
      <c r="C10" s="56" t="s">
        <v>454</v>
      </c>
      <c r="D10" s="125">
        <v>74</v>
      </c>
      <c r="E10" s="125">
        <v>74</v>
      </c>
      <c r="F10" s="125"/>
      <c r="G10" s="125"/>
      <c r="H10" s="125">
        <v>140</v>
      </c>
      <c r="I10" s="125">
        <v>140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2">
        <f t="shared" si="0"/>
        <v>214</v>
      </c>
      <c r="W10" s="258"/>
      <c r="X10" s="259"/>
      <c r="Y10" s="131">
        <f t="shared" si="1"/>
        <v>214</v>
      </c>
    </row>
    <row r="11" spans="1:25" x14ac:dyDescent="0.25">
      <c r="A11" s="55"/>
      <c r="B11" s="257" t="s">
        <v>214</v>
      </c>
      <c r="C11" s="56" t="s">
        <v>456</v>
      </c>
      <c r="D11" s="125"/>
      <c r="E11" s="125"/>
      <c r="F11" s="125"/>
      <c r="G11" s="125"/>
      <c r="H11" s="125">
        <v>15158</v>
      </c>
      <c r="I11" s="125">
        <v>15158</v>
      </c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2">
        <f t="shared" si="0"/>
        <v>15158</v>
      </c>
      <c r="W11" s="258"/>
      <c r="X11" s="259"/>
      <c r="Y11" s="131">
        <f t="shared" si="1"/>
        <v>15158</v>
      </c>
    </row>
    <row r="12" spans="1:25" x14ac:dyDescent="0.25">
      <c r="A12" s="55"/>
      <c r="B12" s="257" t="s">
        <v>214</v>
      </c>
      <c r="C12" s="56" t="s">
        <v>516</v>
      </c>
      <c r="D12" s="125"/>
      <c r="E12" s="286">
        <v>2237.652</v>
      </c>
      <c r="F12" s="125"/>
      <c r="G12" s="286">
        <v>218.172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2"/>
      <c r="W12" s="258"/>
      <c r="X12" s="259"/>
      <c r="Y12" s="131">
        <f t="shared" si="1"/>
        <v>2455.8240000000001</v>
      </c>
    </row>
    <row r="13" spans="1:25" x14ac:dyDescent="0.25">
      <c r="A13" s="55">
        <v>9</v>
      </c>
      <c r="B13" s="257" t="s">
        <v>214</v>
      </c>
      <c r="C13" s="56" t="s">
        <v>355</v>
      </c>
      <c r="D13" s="125">
        <v>68</v>
      </c>
      <c r="E13" s="125">
        <v>68</v>
      </c>
      <c r="F13" s="125"/>
      <c r="G13" s="125"/>
      <c r="H13" s="125">
        <v>10924</v>
      </c>
      <c r="I13" s="125">
        <v>10924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2">
        <f t="shared" si="0"/>
        <v>10992</v>
      </c>
      <c r="W13" s="258">
        <v>480</v>
      </c>
      <c r="X13" s="259">
        <v>480</v>
      </c>
      <c r="Y13" s="131">
        <f t="shared" si="1"/>
        <v>10992</v>
      </c>
    </row>
    <row r="14" spans="1:25" x14ac:dyDescent="0.25">
      <c r="A14" s="55">
        <v>18</v>
      </c>
      <c r="B14" s="257"/>
      <c r="C14" s="283" t="s">
        <v>253</v>
      </c>
      <c r="D14" s="122">
        <f>SUM(D6:D13)</f>
        <v>11450</v>
      </c>
      <c r="E14" s="122">
        <f t="shared" ref="E14" si="2">SUM(E6:E13)</f>
        <v>15787.182000000001</v>
      </c>
      <c r="F14" s="122">
        <f>SUM(F6:F13)</f>
        <v>2311</v>
      </c>
      <c r="G14" s="122">
        <f t="shared" ref="G14" si="3">SUM(G6:G13)</f>
        <v>2658.7550000000001</v>
      </c>
      <c r="H14" s="122">
        <f>SUM(H6:H13)</f>
        <v>32367</v>
      </c>
      <c r="I14" s="122">
        <f t="shared" ref="I14" si="4">SUM(I6:I13)</f>
        <v>32461.203999999998</v>
      </c>
      <c r="J14" s="122">
        <f>SUM(J6:J13)</f>
        <v>0</v>
      </c>
      <c r="K14" s="122">
        <f t="shared" ref="K14" si="5">SUM(K6:K13)</f>
        <v>0</v>
      </c>
      <c r="L14" s="122">
        <f>SUM(L6:L13)</f>
        <v>0</v>
      </c>
      <c r="M14" s="122">
        <f t="shared" ref="M14" si="6">SUM(M6:M13)</f>
        <v>0</v>
      </c>
      <c r="N14" s="122">
        <f>SUM(N6:N13)</f>
        <v>127</v>
      </c>
      <c r="O14" s="122">
        <f t="shared" ref="O14" si="7">SUM(O6:O13)</f>
        <v>227</v>
      </c>
      <c r="P14" s="122">
        <f>SUM(P6:P13)</f>
        <v>0</v>
      </c>
      <c r="Q14" s="122">
        <f t="shared" ref="Q14" si="8">SUM(Q6:Q13)</f>
        <v>0</v>
      </c>
      <c r="R14" s="122">
        <f>SUM(R6:R13)</f>
        <v>0</v>
      </c>
      <c r="S14" s="122">
        <f t="shared" ref="S14" si="9">SUM(S6:S13)</f>
        <v>0</v>
      </c>
      <c r="T14" s="122">
        <f>SUM(T6:T13)</f>
        <v>0</v>
      </c>
      <c r="U14" s="122">
        <f t="shared" ref="U14" si="10">SUM(U6:U13)</f>
        <v>0</v>
      </c>
      <c r="V14" s="122">
        <f>SUM(V6:V13)</f>
        <v>46255</v>
      </c>
      <c r="W14" s="122">
        <f t="shared" ref="W14:Y14" si="11">SUM(W6:W13)</f>
        <v>21628</v>
      </c>
      <c r="X14" s="122">
        <f t="shared" si="11"/>
        <v>20338</v>
      </c>
      <c r="Y14" s="122">
        <f t="shared" si="11"/>
        <v>51134.141000000003</v>
      </c>
    </row>
    <row r="15" spans="1:25" x14ac:dyDescent="0.25">
      <c r="A15" s="55">
        <v>19</v>
      </c>
      <c r="B15" s="257"/>
      <c r="C15" s="67" t="s">
        <v>239</v>
      </c>
      <c r="D15" s="127">
        <f t="shared" ref="D15:V15" si="12">SUMIF($B6:$B13,"kötelező",D6:D13)</f>
        <v>9919</v>
      </c>
      <c r="E15" s="127">
        <f t="shared" ref="E15" si="13">SUMIF($B6:$B13,"kötelező",E6:E13)</f>
        <v>12018.53</v>
      </c>
      <c r="F15" s="127">
        <f t="shared" si="12"/>
        <v>1784</v>
      </c>
      <c r="G15" s="127">
        <f t="shared" ref="G15" si="14">SUMIF($B6:$B13,"kötelező",G6:G13)</f>
        <v>1913.5830000000001</v>
      </c>
      <c r="H15" s="127">
        <f t="shared" si="12"/>
        <v>4268</v>
      </c>
      <c r="I15" s="127">
        <f t="shared" ref="I15" si="15">SUMIF($B6:$B13,"kötelező",I6:I13)</f>
        <v>4362.2039999999997</v>
      </c>
      <c r="J15" s="127">
        <f t="shared" si="12"/>
        <v>0</v>
      </c>
      <c r="K15" s="127">
        <f t="shared" ref="K15" si="16">SUMIF($B6:$B13,"kötelező",K6:K13)</f>
        <v>0</v>
      </c>
      <c r="L15" s="127">
        <f t="shared" si="12"/>
        <v>0</v>
      </c>
      <c r="M15" s="127">
        <f t="shared" ref="M15" si="17">SUMIF($B6:$B13,"kötelező",M6:M13)</f>
        <v>0</v>
      </c>
      <c r="N15" s="127">
        <f t="shared" si="12"/>
        <v>127</v>
      </c>
      <c r="O15" s="127">
        <f t="shared" ref="O15" si="18">SUMIF($B6:$B13,"kötelező",O6:O13)</f>
        <v>227</v>
      </c>
      <c r="P15" s="127">
        <f t="shared" si="12"/>
        <v>0</v>
      </c>
      <c r="Q15" s="127">
        <f t="shared" ref="Q15" si="19">SUMIF($B6:$B13,"kötelező",Q6:Q13)</f>
        <v>0</v>
      </c>
      <c r="R15" s="127">
        <f t="shared" si="12"/>
        <v>0</v>
      </c>
      <c r="S15" s="127">
        <f t="shared" ref="S15" si="20">SUMIF($B6:$B13,"kötelező",S6:S13)</f>
        <v>0</v>
      </c>
      <c r="T15" s="127">
        <f t="shared" si="12"/>
        <v>0</v>
      </c>
      <c r="U15" s="127">
        <f t="shared" ref="U15" si="21">SUMIF($B6:$B13,"kötelező",U6:U13)</f>
        <v>0</v>
      </c>
      <c r="V15" s="127">
        <f t="shared" si="12"/>
        <v>16098</v>
      </c>
      <c r="W15" s="127">
        <f t="shared" ref="W15:Y15" si="22">SUMIF($B6:$B13,"kötelező",W6:W13)</f>
        <v>11317</v>
      </c>
      <c r="X15" s="127">
        <f t="shared" si="22"/>
        <v>10318</v>
      </c>
      <c r="Y15" s="127">
        <f t="shared" si="22"/>
        <v>18521.317000000003</v>
      </c>
    </row>
    <row r="16" spans="1:25" x14ac:dyDescent="0.25">
      <c r="A16" s="55">
        <v>20</v>
      </c>
      <c r="B16" s="257"/>
      <c r="C16" s="67" t="s">
        <v>240</v>
      </c>
      <c r="D16" s="127">
        <f t="shared" ref="D16:V16" si="23">SUMIF($B6:$B13,"nem kötelező",D6:D13)</f>
        <v>1531</v>
      </c>
      <c r="E16" s="127">
        <f t="shared" ref="E16" si="24">SUMIF($B6:$B13,"nem kötelező",E6:E13)</f>
        <v>3768.652</v>
      </c>
      <c r="F16" s="127">
        <f t="shared" si="23"/>
        <v>527</v>
      </c>
      <c r="G16" s="127">
        <f t="shared" ref="G16" si="25">SUMIF($B6:$B13,"nem kötelező",G6:G13)</f>
        <v>745.17200000000003</v>
      </c>
      <c r="H16" s="127">
        <f t="shared" si="23"/>
        <v>28099</v>
      </c>
      <c r="I16" s="127">
        <f t="shared" ref="I16" si="26">SUMIF($B6:$B13,"nem kötelező",I6:I13)</f>
        <v>28099</v>
      </c>
      <c r="J16" s="127">
        <f t="shared" si="23"/>
        <v>0</v>
      </c>
      <c r="K16" s="127">
        <f t="shared" ref="K16" si="27">SUMIF($B6:$B13,"nem kötelező",K6:K13)</f>
        <v>0</v>
      </c>
      <c r="L16" s="127">
        <f t="shared" si="23"/>
        <v>0</v>
      </c>
      <c r="M16" s="127">
        <f t="shared" ref="M16" si="28">SUMIF($B6:$B13,"nem kötelező",M6:M13)</f>
        <v>0</v>
      </c>
      <c r="N16" s="127">
        <f t="shared" si="23"/>
        <v>0</v>
      </c>
      <c r="O16" s="127">
        <f t="shared" ref="O16" si="29">SUMIF($B6:$B13,"nem kötelező",O6:O13)</f>
        <v>0</v>
      </c>
      <c r="P16" s="127">
        <f t="shared" si="23"/>
        <v>0</v>
      </c>
      <c r="Q16" s="127">
        <f t="shared" ref="Q16" si="30">SUMIF($B6:$B13,"nem kötelező",Q6:Q13)</f>
        <v>0</v>
      </c>
      <c r="R16" s="127">
        <f t="shared" si="23"/>
        <v>0</v>
      </c>
      <c r="S16" s="127">
        <f t="shared" ref="S16" si="31">SUMIF($B6:$B13,"nem kötelező",S6:S13)</f>
        <v>0</v>
      </c>
      <c r="T16" s="127">
        <f t="shared" si="23"/>
        <v>0</v>
      </c>
      <c r="U16" s="127">
        <f t="shared" ref="U16" si="32">SUMIF($B6:$B13,"nem kötelező",U6:U13)</f>
        <v>0</v>
      </c>
      <c r="V16" s="127">
        <f t="shared" si="23"/>
        <v>30157</v>
      </c>
      <c r="W16" s="127">
        <f t="shared" ref="W16:Y16" si="33">SUMIF($B6:$B13,"nem kötelező",W6:W13)</f>
        <v>10311</v>
      </c>
      <c r="X16" s="127">
        <f t="shared" si="33"/>
        <v>10020</v>
      </c>
      <c r="Y16" s="127">
        <f t="shared" si="33"/>
        <v>32612.824000000001</v>
      </c>
    </row>
    <row r="17" spans="1:25" x14ac:dyDescent="0.25">
      <c r="A17" s="55">
        <v>21</v>
      </c>
      <c r="B17" s="257"/>
      <c r="C17" s="67" t="s">
        <v>301</v>
      </c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134">
        <v>5</v>
      </c>
      <c r="W17" s="258"/>
      <c r="Y17" s="76">
        <v>5</v>
      </c>
    </row>
    <row r="18" spans="1:25" x14ac:dyDescent="0.25">
      <c r="A18" s="55">
        <v>22</v>
      </c>
      <c r="B18" s="257"/>
      <c r="C18" s="67" t="s">
        <v>299</v>
      </c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>
        <v>0</v>
      </c>
      <c r="W18" s="258"/>
      <c r="Y18" s="67"/>
    </row>
  </sheetData>
  <mergeCells count="12">
    <mergeCell ref="P1:V1"/>
    <mergeCell ref="B3:Y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Y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8"/>
  <sheetViews>
    <sheetView topLeftCell="A25" workbookViewId="0">
      <selection activeCell="A57" sqref="A57"/>
    </sheetView>
  </sheetViews>
  <sheetFormatPr defaultRowHeight="15.75" x14ac:dyDescent="0.25"/>
  <cols>
    <col min="1" max="1" width="52.7109375" style="2" customWidth="1"/>
    <col min="2" max="2" width="14.42578125" style="2" customWidth="1"/>
    <col min="3" max="3" width="19" style="83" customWidth="1"/>
    <col min="4" max="4" width="12" style="2" customWidth="1"/>
    <col min="5" max="5" width="12.42578125" style="2" bestFit="1" customWidth="1"/>
    <col min="6" max="6" width="12.42578125" style="2" customWidth="1"/>
    <col min="7" max="7" width="12.85546875" style="2" customWidth="1"/>
    <col min="8" max="16384" width="9.140625" style="2"/>
  </cols>
  <sheetData>
    <row r="1" spans="1:7" x14ac:dyDescent="0.25">
      <c r="A1" s="349" t="s">
        <v>432</v>
      </c>
      <c r="B1" s="349"/>
      <c r="C1" s="349"/>
      <c r="D1" s="349"/>
      <c r="E1" s="349"/>
      <c r="F1" s="349"/>
      <c r="G1" s="349"/>
    </row>
    <row r="3" spans="1:7" s="41" customFormat="1" ht="29.25" customHeight="1" x14ac:dyDescent="0.25">
      <c r="A3" s="395" t="s">
        <v>190</v>
      </c>
      <c r="B3" s="395"/>
      <c r="C3" s="395"/>
      <c r="D3" s="395"/>
      <c r="E3" s="395"/>
      <c r="F3" s="395"/>
      <c r="G3" s="395"/>
    </row>
    <row r="4" spans="1:7" ht="16.5" thickBot="1" x14ac:dyDescent="0.3">
      <c r="E4" s="349" t="s">
        <v>350</v>
      </c>
      <c r="F4" s="349"/>
      <c r="G4" s="349"/>
    </row>
    <row r="5" spans="1:7" s="41" customFormat="1" ht="48" thickBot="1" x14ac:dyDescent="0.3">
      <c r="A5" s="47" t="s">
        <v>192</v>
      </c>
      <c r="B5" s="42" t="s">
        <v>193</v>
      </c>
      <c r="C5" s="48" t="s">
        <v>194</v>
      </c>
      <c r="D5" s="48" t="s">
        <v>332</v>
      </c>
      <c r="E5" s="48" t="s">
        <v>394</v>
      </c>
      <c r="F5" s="181" t="s">
        <v>433</v>
      </c>
      <c r="G5" s="43" t="s">
        <v>434</v>
      </c>
    </row>
    <row r="6" spans="1:7" s="31" customFormat="1" x14ac:dyDescent="0.25">
      <c r="A6" s="80" t="s">
        <v>148</v>
      </c>
      <c r="B6" s="81" t="s">
        <v>170</v>
      </c>
      <c r="C6" s="81" t="s">
        <v>149</v>
      </c>
      <c r="D6" s="81" t="s">
        <v>150</v>
      </c>
      <c r="E6" s="81" t="s">
        <v>151</v>
      </c>
      <c r="F6" s="182"/>
      <c r="G6" s="82" t="s">
        <v>191</v>
      </c>
    </row>
    <row r="7" spans="1:7" s="78" customFormat="1" x14ac:dyDescent="0.25">
      <c r="A7" s="87" t="s">
        <v>304</v>
      </c>
      <c r="B7" s="32"/>
      <c r="C7" s="32"/>
      <c r="D7" s="32"/>
      <c r="E7" s="32"/>
      <c r="F7" s="32"/>
      <c r="G7" s="32"/>
    </row>
    <row r="8" spans="1:7" x14ac:dyDescent="0.25">
      <c r="A8" s="103" t="s">
        <v>462</v>
      </c>
      <c r="B8" s="139"/>
      <c r="C8" s="33"/>
      <c r="D8" s="139"/>
      <c r="E8" s="139"/>
      <c r="F8" s="139"/>
      <c r="G8" s="79">
        <f>B8-D8-E8</f>
        <v>0</v>
      </c>
    </row>
    <row r="9" spans="1:7" x14ac:dyDescent="0.25">
      <c r="A9" s="8" t="s">
        <v>463</v>
      </c>
      <c r="B9" s="139">
        <v>96</v>
      </c>
      <c r="C9" s="33">
        <v>2018</v>
      </c>
      <c r="D9" s="139">
        <v>0</v>
      </c>
      <c r="E9" s="139">
        <v>96</v>
      </c>
      <c r="F9" s="139">
        <v>96</v>
      </c>
      <c r="G9" s="79">
        <f>B9-D9-E9</f>
        <v>0</v>
      </c>
    </row>
    <row r="10" spans="1:7" x14ac:dyDescent="0.25">
      <c r="A10" s="190" t="s">
        <v>464</v>
      </c>
      <c r="B10" s="140">
        <v>115</v>
      </c>
      <c r="C10" s="33">
        <v>2018</v>
      </c>
      <c r="D10" s="139">
        <v>0</v>
      </c>
      <c r="E10" s="140">
        <v>115</v>
      </c>
      <c r="F10" s="140">
        <v>115</v>
      </c>
      <c r="G10" s="79">
        <v>0</v>
      </c>
    </row>
    <row r="11" spans="1:7" x14ac:dyDescent="0.25">
      <c r="A11" s="8" t="s">
        <v>465</v>
      </c>
      <c r="B11" s="140">
        <v>254</v>
      </c>
      <c r="C11" s="33">
        <v>2018</v>
      </c>
      <c r="D11" s="139">
        <v>0</v>
      </c>
      <c r="E11" s="140">
        <v>254</v>
      </c>
      <c r="F11" s="140">
        <v>254</v>
      </c>
      <c r="G11" s="79"/>
    </row>
    <row r="12" spans="1:7" x14ac:dyDescent="0.25">
      <c r="A12" s="8" t="s">
        <v>466</v>
      </c>
      <c r="B12" s="140">
        <v>122</v>
      </c>
      <c r="C12" s="33">
        <v>2018</v>
      </c>
      <c r="D12" s="139">
        <v>0</v>
      </c>
      <c r="E12" s="140">
        <v>122</v>
      </c>
      <c r="F12" s="140">
        <v>122</v>
      </c>
      <c r="G12" s="79">
        <f t="shared" ref="G12:G54" si="0">B12-D12-E12</f>
        <v>0</v>
      </c>
    </row>
    <row r="13" spans="1:7" x14ac:dyDescent="0.25">
      <c r="A13" s="8" t="s">
        <v>467</v>
      </c>
      <c r="B13" s="140">
        <v>32</v>
      </c>
      <c r="C13" s="33">
        <v>2018</v>
      </c>
      <c r="D13" s="139">
        <v>0</v>
      </c>
      <c r="E13" s="140">
        <v>32</v>
      </c>
      <c r="F13" s="140">
        <v>32</v>
      </c>
      <c r="G13" s="79">
        <f t="shared" si="0"/>
        <v>0</v>
      </c>
    </row>
    <row r="14" spans="1:7" x14ac:dyDescent="0.25">
      <c r="A14" s="8" t="s">
        <v>468</v>
      </c>
      <c r="B14" s="140">
        <v>46</v>
      </c>
      <c r="C14" s="33">
        <v>2018</v>
      </c>
      <c r="D14" s="139">
        <v>0</v>
      </c>
      <c r="E14" s="140">
        <v>46</v>
      </c>
      <c r="F14" s="140">
        <v>46</v>
      </c>
      <c r="G14" s="79">
        <f t="shared" si="0"/>
        <v>0</v>
      </c>
    </row>
    <row r="15" spans="1:7" x14ac:dyDescent="0.25">
      <c r="A15" s="8" t="s">
        <v>469</v>
      </c>
      <c r="B15" s="140">
        <v>761</v>
      </c>
      <c r="C15" s="33">
        <v>2018</v>
      </c>
      <c r="D15" s="139">
        <v>0</v>
      </c>
      <c r="E15" s="140">
        <v>761</v>
      </c>
      <c r="F15" s="140">
        <v>761</v>
      </c>
      <c r="G15" s="79">
        <f t="shared" si="0"/>
        <v>0</v>
      </c>
    </row>
    <row r="16" spans="1:7" x14ac:dyDescent="0.25">
      <c r="A16" s="4" t="s">
        <v>470</v>
      </c>
      <c r="B16" s="140">
        <v>312</v>
      </c>
      <c r="C16" s="33">
        <v>2018</v>
      </c>
      <c r="D16" s="139">
        <v>0</v>
      </c>
      <c r="E16" s="140">
        <v>312</v>
      </c>
      <c r="F16" s="140">
        <v>312</v>
      </c>
      <c r="G16" s="79">
        <f t="shared" si="0"/>
        <v>0</v>
      </c>
    </row>
    <row r="17" spans="1:7" x14ac:dyDescent="0.25">
      <c r="A17" s="84" t="s">
        <v>471</v>
      </c>
      <c r="B17" s="140"/>
      <c r="C17" s="32"/>
      <c r="D17" s="140"/>
      <c r="E17" s="140"/>
      <c r="F17" s="140"/>
      <c r="G17" s="79">
        <f t="shared" si="0"/>
        <v>0</v>
      </c>
    </row>
    <row r="18" spans="1:7" s="1" customFormat="1" x14ac:dyDescent="0.25">
      <c r="A18" s="4" t="s">
        <v>472</v>
      </c>
      <c r="B18" s="140">
        <v>78</v>
      </c>
      <c r="C18" s="33">
        <v>2018</v>
      </c>
      <c r="D18" s="139">
        <v>0</v>
      </c>
      <c r="E18" s="140">
        <v>78</v>
      </c>
      <c r="F18" s="140">
        <v>78</v>
      </c>
      <c r="G18" s="88">
        <f t="shared" si="0"/>
        <v>0</v>
      </c>
    </row>
    <row r="19" spans="1:7" x14ac:dyDescent="0.25">
      <c r="A19" s="4" t="s">
        <v>473</v>
      </c>
      <c r="B19" s="140">
        <v>60</v>
      </c>
      <c r="C19" s="33">
        <v>2018</v>
      </c>
      <c r="D19" s="139">
        <v>0</v>
      </c>
      <c r="E19" s="140">
        <v>60</v>
      </c>
      <c r="F19" s="140">
        <v>60</v>
      </c>
      <c r="G19" s="79">
        <f t="shared" si="0"/>
        <v>0</v>
      </c>
    </row>
    <row r="20" spans="1:7" x14ac:dyDescent="0.25">
      <c r="A20" s="190" t="s">
        <v>474</v>
      </c>
      <c r="B20" s="191">
        <v>31</v>
      </c>
      <c r="C20" s="33">
        <v>2018</v>
      </c>
      <c r="D20" s="139">
        <v>0</v>
      </c>
      <c r="E20" s="191">
        <v>31</v>
      </c>
      <c r="F20" s="191">
        <v>31</v>
      </c>
      <c r="G20" s="79">
        <f t="shared" si="0"/>
        <v>0</v>
      </c>
    </row>
    <row r="21" spans="1:7" x14ac:dyDescent="0.25">
      <c r="A21" s="4" t="s">
        <v>475</v>
      </c>
      <c r="B21" s="140">
        <v>26</v>
      </c>
      <c r="C21" s="33">
        <v>2018</v>
      </c>
      <c r="D21" s="139">
        <v>0</v>
      </c>
      <c r="E21" s="140">
        <v>26</v>
      </c>
      <c r="F21" s="140">
        <v>26</v>
      </c>
      <c r="G21" s="79">
        <f t="shared" si="0"/>
        <v>0</v>
      </c>
    </row>
    <row r="22" spans="1:7" x14ac:dyDescent="0.25">
      <c r="A22" s="4" t="s">
        <v>476</v>
      </c>
      <c r="B22" s="140">
        <v>25</v>
      </c>
      <c r="C22" s="33">
        <v>2018</v>
      </c>
      <c r="D22" s="139">
        <v>0</v>
      </c>
      <c r="E22" s="140">
        <v>25</v>
      </c>
      <c r="F22" s="140">
        <v>25</v>
      </c>
      <c r="G22" s="79">
        <f t="shared" si="0"/>
        <v>0</v>
      </c>
    </row>
    <row r="23" spans="1:7" x14ac:dyDescent="0.25">
      <c r="A23" s="4" t="s">
        <v>477</v>
      </c>
      <c r="B23" s="140">
        <v>26</v>
      </c>
      <c r="C23" s="33">
        <v>2018</v>
      </c>
      <c r="D23" s="139">
        <v>0</v>
      </c>
      <c r="E23" s="140">
        <v>26</v>
      </c>
      <c r="F23" s="140">
        <v>26</v>
      </c>
      <c r="G23" s="79">
        <f t="shared" si="0"/>
        <v>0</v>
      </c>
    </row>
    <row r="24" spans="1:7" x14ac:dyDescent="0.25">
      <c r="A24" s="4" t="s">
        <v>478</v>
      </c>
      <c r="B24" s="140">
        <v>310</v>
      </c>
      <c r="C24" s="33">
        <v>2018</v>
      </c>
      <c r="D24" s="139">
        <v>0</v>
      </c>
      <c r="E24" s="140">
        <v>310</v>
      </c>
      <c r="F24" s="140">
        <v>310</v>
      </c>
      <c r="G24" s="79">
        <f t="shared" si="0"/>
        <v>0</v>
      </c>
    </row>
    <row r="25" spans="1:7" s="1" customFormat="1" x14ac:dyDescent="0.25">
      <c r="A25" s="85" t="s">
        <v>479</v>
      </c>
      <c r="B25" s="146"/>
      <c r="C25" s="87"/>
      <c r="D25" s="146"/>
      <c r="E25" s="146"/>
      <c r="F25" s="146"/>
      <c r="G25" s="88">
        <f t="shared" si="0"/>
        <v>0</v>
      </c>
    </row>
    <row r="26" spans="1:7" s="1" customFormat="1" x14ac:dyDescent="0.25">
      <c r="A26" s="4" t="s">
        <v>480</v>
      </c>
      <c r="B26" s="140">
        <v>89</v>
      </c>
      <c r="C26" s="33">
        <v>2018</v>
      </c>
      <c r="D26" s="139">
        <v>0</v>
      </c>
      <c r="E26" s="140">
        <v>89</v>
      </c>
      <c r="F26" s="140">
        <v>89</v>
      </c>
      <c r="G26" s="88"/>
    </row>
    <row r="27" spans="1:7" x14ac:dyDescent="0.25">
      <c r="A27" s="85" t="s">
        <v>349</v>
      </c>
      <c r="B27" s="146">
        <f>SUM(B9:B26)</f>
        <v>2383</v>
      </c>
      <c r="C27" s="87"/>
      <c r="D27" s="146">
        <v>0</v>
      </c>
      <c r="E27" s="146">
        <f>SUM(E9:E26)</f>
        <v>2383</v>
      </c>
      <c r="F27" s="146">
        <f>SUM(F9:F26)</f>
        <v>2383</v>
      </c>
      <c r="G27" s="79">
        <f t="shared" si="0"/>
        <v>0</v>
      </c>
    </row>
    <row r="28" spans="1:7" x14ac:dyDescent="0.25">
      <c r="A28" s="87" t="s">
        <v>358</v>
      </c>
      <c r="B28" s="146"/>
      <c r="C28" s="87"/>
      <c r="D28" s="146"/>
      <c r="E28" s="146"/>
      <c r="F28" s="146"/>
      <c r="G28" s="79">
        <f t="shared" si="0"/>
        <v>0</v>
      </c>
    </row>
    <row r="29" spans="1:7" x14ac:dyDescent="0.25">
      <c r="A29" s="56" t="s">
        <v>348</v>
      </c>
      <c r="B29" s="140">
        <v>55115</v>
      </c>
      <c r="C29" s="32">
        <v>2018</v>
      </c>
      <c r="D29" s="140">
        <v>0</v>
      </c>
      <c r="E29" s="140">
        <v>55115</v>
      </c>
      <c r="F29" s="140">
        <v>55115</v>
      </c>
      <c r="G29" s="79">
        <f t="shared" si="0"/>
        <v>0</v>
      </c>
    </row>
    <row r="30" spans="1:7" x14ac:dyDescent="0.25">
      <c r="A30" s="56" t="s">
        <v>344</v>
      </c>
      <c r="B30" s="140">
        <v>189753</v>
      </c>
      <c r="C30" s="32">
        <v>2018</v>
      </c>
      <c r="D30" s="140">
        <v>0</v>
      </c>
      <c r="E30" s="140">
        <v>189753</v>
      </c>
      <c r="F30" s="140">
        <v>190261</v>
      </c>
      <c r="G30" s="79">
        <f t="shared" si="0"/>
        <v>0</v>
      </c>
    </row>
    <row r="31" spans="1:7" x14ac:dyDescent="0.25">
      <c r="A31" s="56" t="s">
        <v>346</v>
      </c>
      <c r="B31" s="140">
        <v>45500</v>
      </c>
      <c r="C31" s="32">
        <v>2018</v>
      </c>
      <c r="D31" s="140">
        <v>0</v>
      </c>
      <c r="E31" s="140">
        <v>45500</v>
      </c>
      <c r="F31" s="140">
        <v>45500</v>
      </c>
      <c r="G31" s="79">
        <f t="shared" si="0"/>
        <v>0</v>
      </c>
    </row>
    <row r="32" spans="1:7" s="1" customFormat="1" x14ac:dyDescent="0.25">
      <c r="A32" s="56" t="s">
        <v>347</v>
      </c>
      <c r="B32" s="140">
        <v>159401</v>
      </c>
      <c r="C32" s="32">
        <v>2019</v>
      </c>
      <c r="D32" s="140">
        <v>0</v>
      </c>
      <c r="E32" s="140">
        <v>159401</v>
      </c>
      <c r="F32" s="140">
        <v>159401</v>
      </c>
      <c r="G32" s="88"/>
    </row>
    <row r="33" spans="1:7" s="1" customFormat="1" x14ac:dyDescent="0.25">
      <c r="A33" s="56" t="s">
        <v>389</v>
      </c>
      <c r="B33" s="192">
        <v>110015</v>
      </c>
      <c r="C33" s="32">
        <v>2019</v>
      </c>
      <c r="D33" s="140">
        <v>0</v>
      </c>
      <c r="E33" s="192">
        <v>110015</v>
      </c>
      <c r="F33" s="192">
        <v>99720.436000000002</v>
      </c>
      <c r="G33" s="88">
        <f t="shared" si="0"/>
        <v>0</v>
      </c>
    </row>
    <row r="34" spans="1:7" s="1" customFormat="1" x14ac:dyDescent="0.25">
      <c r="A34" s="56" t="s">
        <v>390</v>
      </c>
      <c r="B34" s="192">
        <v>46438</v>
      </c>
      <c r="C34" s="32">
        <v>2020</v>
      </c>
      <c r="D34" s="140">
        <v>0</v>
      </c>
      <c r="E34" s="192">
        <v>46438</v>
      </c>
      <c r="F34" s="192">
        <v>46438</v>
      </c>
      <c r="G34" s="86">
        <f>SUM(G8:G15)</f>
        <v>0</v>
      </c>
    </row>
    <row r="35" spans="1:7" x14ac:dyDescent="0.25">
      <c r="A35" s="85" t="s">
        <v>481</v>
      </c>
      <c r="B35" s="146">
        <f>SUM(B29:B34)</f>
        <v>606222</v>
      </c>
      <c r="C35" s="87"/>
      <c r="D35" s="146"/>
      <c r="E35" s="146">
        <f>SUM(E29:E34)</f>
        <v>606222</v>
      </c>
      <c r="F35" s="146">
        <f>SUM(F29:F34)</f>
        <v>596435.43599999999</v>
      </c>
      <c r="G35" s="79">
        <f t="shared" si="0"/>
        <v>0</v>
      </c>
    </row>
    <row r="36" spans="1:7" x14ac:dyDescent="0.25">
      <c r="A36" s="4" t="s">
        <v>482</v>
      </c>
      <c r="B36" s="140">
        <v>500</v>
      </c>
      <c r="C36" s="32">
        <v>2018</v>
      </c>
      <c r="D36" s="140"/>
      <c r="E36" s="140">
        <v>500</v>
      </c>
      <c r="F36" s="140">
        <v>500</v>
      </c>
      <c r="G36" s="79">
        <v>0</v>
      </c>
    </row>
    <row r="37" spans="1:7" s="1" customFormat="1" x14ac:dyDescent="0.25">
      <c r="A37" s="4" t="s">
        <v>483</v>
      </c>
      <c r="B37" s="140">
        <v>700</v>
      </c>
      <c r="C37" s="32">
        <v>2018</v>
      </c>
      <c r="D37" s="140"/>
      <c r="E37" s="140">
        <v>700</v>
      </c>
      <c r="F37" s="140">
        <v>700</v>
      </c>
      <c r="G37" s="79">
        <f t="shared" si="0"/>
        <v>0</v>
      </c>
    </row>
    <row r="38" spans="1:7" ht="31.5" x14ac:dyDescent="0.25">
      <c r="A38" s="23" t="s">
        <v>484</v>
      </c>
      <c r="B38" s="140">
        <v>50</v>
      </c>
      <c r="C38" s="32">
        <v>2018</v>
      </c>
      <c r="D38" s="140">
        <v>0</v>
      </c>
      <c r="E38" s="140">
        <v>50</v>
      </c>
      <c r="F38" s="140">
        <v>50</v>
      </c>
      <c r="G38" s="79">
        <f t="shared" si="0"/>
        <v>0</v>
      </c>
    </row>
    <row r="39" spans="1:7" x14ac:dyDescent="0.25">
      <c r="A39" s="4" t="s">
        <v>438</v>
      </c>
      <c r="B39" s="140">
        <v>10526</v>
      </c>
      <c r="C39" s="32">
        <v>2018</v>
      </c>
      <c r="D39" s="140">
        <v>0</v>
      </c>
      <c r="E39" s="140">
        <v>10526</v>
      </c>
      <c r="F39" s="140">
        <v>10776</v>
      </c>
      <c r="G39" s="79">
        <f t="shared" si="0"/>
        <v>0</v>
      </c>
    </row>
    <row r="40" spans="1:7" x14ac:dyDescent="0.25">
      <c r="A40" s="4" t="s">
        <v>510</v>
      </c>
      <c r="B40" s="140"/>
      <c r="C40" s="32">
        <v>2018</v>
      </c>
      <c r="D40" s="140"/>
      <c r="E40" s="140"/>
      <c r="F40" s="140">
        <v>299.23</v>
      </c>
      <c r="G40" s="79"/>
    </row>
    <row r="41" spans="1:7" x14ac:dyDescent="0.25">
      <c r="A41" s="193" t="s">
        <v>448</v>
      </c>
      <c r="B41" s="194">
        <v>2000</v>
      </c>
      <c r="C41" s="32">
        <v>2018</v>
      </c>
      <c r="D41" s="140">
        <v>0</v>
      </c>
      <c r="E41" s="194">
        <v>1800</v>
      </c>
      <c r="F41" s="194">
        <v>1800</v>
      </c>
      <c r="G41" s="79">
        <v>0</v>
      </c>
    </row>
    <row r="42" spans="1:7" x14ac:dyDescent="0.25">
      <c r="A42" s="193" t="s">
        <v>518</v>
      </c>
      <c r="B42" s="194"/>
      <c r="C42" s="32">
        <v>2018</v>
      </c>
      <c r="D42" s="140"/>
      <c r="E42" s="194"/>
      <c r="F42" s="194">
        <v>37243.444000000003</v>
      </c>
      <c r="G42" s="79"/>
    </row>
    <row r="43" spans="1:7" x14ac:dyDescent="0.25">
      <c r="A43" s="85" t="s">
        <v>307</v>
      </c>
      <c r="B43" s="146">
        <f>B27+B35+SUM(B36:B41)</f>
        <v>622381</v>
      </c>
      <c r="C43" s="86"/>
      <c r="D43" s="146">
        <f>D8+D19</f>
        <v>0</v>
      </c>
      <c r="E43" s="146">
        <f>E27+E35+SUM(E36:E41)</f>
        <v>622181</v>
      </c>
      <c r="F43" s="146">
        <f>F27+F35+SUM(F36:F42)</f>
        <v>650187.11</v>
      </c>
      <c r="G43" s="79">
        <v>0</v>
      </c>
    </row>
    <row r="44" spans="1:7" s="1" customFormat="1" x14ac:dyDescent="0.25">
      <c r="A44" s="87" t="s">
        <v>485</v>
      </c>
      <c r="B44" s="146"/>
      <c r="C44" s="87"/>
      <c r="D44" s="146"/>
      <c r="E44" s="146"/>
      <c r="F44" s="146"/>
      <c r="G44" s="88">
        <f t="shared" si="0"/>
        <v>0</v>
      </c>
    </row>
    <row r="45" spans="1:7" s="1" customFormat="1" x14ac:dyDescent="0.25">
      <c r="A45" s="190" t="s">
        <v>521</v>
      </c>
      <c r="B45" s="146"/>
      <c r="C45" s="87"/>
      <c r="D45" s="146"/>
      <c r="E45" s="146"/>
      <c r="F45" s="140">
        <v>23</v>
      </c>
      <c r="G45" s="88"/>
    </row>
    <row r="46" spans="1:7" x14ac:dyDescent="0.25">
      <c r="A46" s="4" t="s">
        <v>486</v>
      </c>
      <c r="B46" s="140">
        <v>127</v>
      </c>
      <c r="C46" s="32">
        <v>2018</v>
      </c>
      <c r="D46" s="140"/>
      <c r="E46" s="140">
        <v>127</v>
      </c>
      <c r="F46" s="140">
        <v>147</v>
      </c>
      <c r="G46" s="79">
        <f t="shared" si="0"/>
        <v>0</v>
      </c>
    </row>
    <row r="47" spans="1:7" s="1" customFormat="1" x14ac:dyDescent="0.25">
      <c r="A47" s="197" t="s">
        <v>380</v>
      </c>
      <c r="B47" s="146">
        <v>127</v>
      </c>
      <c r="C47" s="87"/>
      <c r="D47" s="146"/>
      <c r="E47" s="146">
        <f>SUM(E46:E46)</f>
        <v>127</v>
      </c>
      <c r="F47" s="146">
        <f>SUM(F45:F46)</f>
        <v>170</v>
      </c>
      <c r="G47" s="88">
        <v>0</v>
      </c>
    </row>
    <row r="48" spans="1:7" hidden="1" x14ac:dyDescent="0.25">
      <c r="A48" s="87" t="s">
        <v>306</v>
      </c>
      <c r="B48" s="140"/>
      <c r="C48" s="32"/>
      <c r="D48" s="140"/>
      <c r="E48" s="140"/>
      <c r="F48" s="140"/>
      <c r="G48" s="79">
        <f t="shared" si="0"/>
        <v>0</v>
      </c>
    </row>
    <row r="49" spans="1:7" hidden="1" x14ac:dyDescent="0.25">
      <c r="A49" s="4" t="s">
        <v>486</v>
      </c>
      <c r="B49" s="140"/>
      <c r="C49" s="32"/>
      <c r="D49" s="140"/>
      <c r="E49" s="140">
        <v>127</v>
      </c>
      <c r="F49" s="140">
        <v>127</v>
      </c>
      <c r="G49" s="79">
        <f t="shared" si="0"/>
        <v>-127</v>
      </c>
    </row>
    <row r="50" spans="1:7" hidden="1" x14ac:dyDescent="0.25">
      <c r="A50" s="4"/>
      <c r="B50" s="140"/>
      <c r="C50" s="32"/>
      <c r="D50" s="140"/>
      <c r="E50" s="140"/>
      <c r="F50" s="140"/>
      <c r="G50" s="79">
        <f t="shared" si="0"/>
        <v>0</v>
      </c>
    </row>
    <row r="51" spans="1:7" hidden="1" x14ac:dyDescent="0.25">
      <c r="A51" s="4"/>
      <c r="B51" s="140"/>
      <c r="C51" s="32"/>
      <c r="D51" s="140"/>
      <c r="E51" s="140"/>
      <c r="F51" s="140"/>
      <c r="G51" s="79">
        <f t="shared" si="0"/>
        <v>0</v>
      </c>
    </row>
    <row r="52" spans="1:7" hidden="1" x14ac:dyDescent="0.25">
      <c r="A52" s="4"/>
      <c r="B52" s="140"/>
      <c r="C52" s="32"/>
      <c r="D52" s="140"/>
      <c r="E52" s="140"/>
      <c r="F52" s="140"/>
      <c r="G52" s="79">
        <f t="shared" si="0"/>
        <v>0</v>
      </c>
    </row>
    <row r="53" spans="1:7" hidden="1" x14ac:dyDescent="0.25">
      <c r="A53" s="85" t="s">
        <v>308</v>
      </c>
      <c r="B53" s="146">
        <f>SUM(B49:B51)</f>
        <v>0</v>
      </c>
      <c r="C53" s="86"/>
      <c r="D53" s="146">
        <f>SUM(D49:D51)</f>
        <v>0</v>
      </c>
      <c r="E53" s="146">
        <f>SUM(E49:E52)</f>
        <v>127</v>
      </c>
      <c r="F53" s="146">
        <f>SUM(F49:F52)</f>
        <v>127</v>
      </c>
      <c r="G53" s="79">
        <f t="shared" si="0"/>
        <v>-127</v>
      </c>
    </row>
    <row r="54" spans="1:7" hidden="1" x14ac:dyDescent="0.25">
      <c r="A54" s="87" t="s">
        <v>309</v>
      </c>
      <c r="B54" s="140"/>
      <c r="C54" s="32"/>
      <c r="D54" s="140"/>
      <c r="E54" s="140"/>
      <c r="F54" s="140"/>
      <c r="G54" s="196">
        <f t="shared" si="0"/>
        <v>0</v>
      </c>
    </row>
    <row r="55" spans="1:7" x14ac:dyDescent="0.25">
      <c r="A55" s="87" t="s">
        <v>306</v>
      </c>
      <c r="B55" s="140"/>
      <c r="C55" s="32"/>
      <c r="D55" s="140"/>
      <c r="E55" s="140"/>
      <c r="F55" s="140"/>
      <c r="G55" s="198"/>
    </row>
    <row r="56" spans="1:7" x14ac:dyDescent="0.25">
      <c r="A56" s="190" t="s">
        <v>522</v>
      </c>
      <c r="B56" s="140"/>
      <c r="C56" s="32"/>
      <c r="D56" s="140"/>
      <c r="E56" s="140"/>
      <c r="F56" s="140">
        <v>60</v>
      </c>
      <c r="G56" s="198"/>
    </row>
    <row r="57" spans="1:7" x14ac:dyDescent="0.25">
      <c r="A57" s="190" t="s">
        <v>523</v>
      </c>
      <c r="B57" s="140"/>
      <c r="C57" s="32"/>
      <c r="D57" s="140"/>
      <c r="E57" s="140"/>
      <c r="F57" s="140">
        <v>210</v>
      </c>
      <c r="G57" s="198"/>
    </row>
    <row r="58" spans="1:7" x14ac:dyDescent="0.25">
      <c r="A58" s="4" t="s">
        <v>486</v>
      </c>
      <c r="B58" s="140">
        <v>127</v>
      </c>
      <c r="C58" s="32">
        <v>2018</v>
      </c>
      <c r="D58" s="140"/>
      <c r="E58" s="140">
        <v>127</v>
      </c>
      <c r="F58" s="140">
        <v>127</v>
      </c>
      <c r="G58" s="198">
        <v>0</v>
      </c>
    </row>
    <row r="59" spans="1:7" x14ac:dyDescent="0.25">
      <c r="A59" s="197" t="s">
        <v>308</v>
      </c>
      <c r="B59" s="146">
        <v>127</v>
      </c>
      <c r="C59" s="32"/>
      <c r="D59" s="140"/>
      <c r="E59" s="146">
        <v>127</v>
      </c>
      <c r="F59" s="146">
        <f>SUM(F56:F58)</f>
        <v>397</v>
      </c>
      <c r="G59" s="198">
        <v>0</v>
      </c>
    </row>
    <row r="60" spans="1:7" x14ac:dyDescent="0.25">
      <c r="A60" s="87" t="s">
        <v>488</v>
      </c>
      <c r="B60" s="140"/>
      <c r="C60" s="32"/>
      <c r="D60" s="140"/>
      <c r="E60" s="140"/>
      <c r="F60" s="140"/>
      <c r="G60" s="198"/>
    </row>
    <row r="61" spans="1:7" x14ac:dyDescent="0.25">
      <c r="A61" s="190" t="s">
        <v>512</v>
      </c>
      <c r="B61" s="140">
        <v>100</v>
      </c>
      <c r="C61" s="32">
        <v>2018</v>
      </c>
      <c r="D61" s="140"/>
      <c r="E61" s="140"/>
      <c r="F61" s="140">
        <v>100</v>
      </c>
      <c r="G61" s="198"/>
    </row>
    <row r="62" spans="1:7" s="1" customFormat="1" x14ac:dyDescent="0.25">
      <c r="A62" s="4" t="s">
        <v>486</v>
      </c>
      <c r="B62" s="140">
        <v>127</v>
      </c>
      <c r="C62" s="32">
        <v>2018</v>
      </c>
      <c r="D62" s="140"/>
      <c r="E62" s="140">
        <v>127</v>
      </c>
      <c r="F62" s="140">
        <v>127</v>
      </c>
      <c r="G62" s="198">
        <v>0</v>
      </c>
    </row>
    <row r="63" spans="1:7" x14ac:dyDescent="0.25">
      <c r="A63" s="197" t="s">
        <v>310</v>
      </c>
      <c r="B63" s="146">
        <f>SUM(B61:B62)</f>
        <v>227</v>
      </c>
      <c r="C63" s="86"/>
      <c r="D63" s="146">
        <f>SUM(D62:D62)</f>
        <v>0</v>
      </c>
      <c r="E63" s="146">
        <f>SUM(E62:E62)</f>
        <v>127</v>
      </c>
      <c r="F63" s="146">
        <f>SUM(F61:F62)</f>
        <v>227</v>
      </c>
      <c r="G63" s="4">
        <v>0</v>
      </c>
    </row>
    <row r="64" spans="1:7" x14ac:dyDescent="0.25">
      <c r="A64" s="87" t="s">
        <v>351</v>
      </c>
      <c r="B64" s="140"/>
      <c r="C64" s="32"/>
      <c r="D64" s="140"/>
      <c r="E64" s="140"/>
      <c r="F64" s="140"/>
      <c r="G64" s="4"/>
    </row>
    <row r="65" spans="1:7" x14ac:dyDescent="0.25">
      <c r="A65" s="190" t="s">
        <v>514</v>
      </c>
      <c r="B65" s="140">
        <v>100</v>
      </c>
      <c r="C65" s="32">
        <v>2018</v>
      </c>
      <c r="D65" s="140"/>
      <c r="E65" s="140"/>
      <c r="F65" s="140">
        <v>100</v>
      </c>
      <c r="G65" s="4"/>
    </row>
    <row r="66" spans="1:7" x14ac:dyDescent="0.25">
      <c r="A66" s="4" t="s">
        <v>486</v>
      </c>
      <c r="B66" s="140">
        <v>127</v>
      </c>
      <c r="C66" s="32">
        <v>2018</v>
      </c>
      <c r="D66" s="140"/>
      <c r="E66" s="140">
        <v>127</v>
      </c>
      <c r="F66" s="140">
        <v>127</v>
      </c>
      <c r="G66" s="4">
        <v>0</v>
      </c>
    </row>
    <row r="67" spans="1:7" x14ac:dyDescent="0.25">
      <c r="A67" s="197" t="s">
        <v>487</v>
      </c>
      <c r="B67" s="146">
        <v>127</v>
      </c>
      <c r="C67" s="87"/>
      <c r="D67" s="146"/>
      <c r="E67" s="146">
        <f>SUM(E66:E66)</f>
        <v>127</v>
      </c>
      <c r="F67" s="146">
        <f>SUM(F65:F66)</f>
        <v>227</v>
      </c>
      <c r="G67" s="4">
        <v>0</v>
      </c>
    </row>
    <row r="68" spans="1:7" ht="16.5" thickBot="1" x14ac:dyDescent="0.3">
      <c r="A68" s="195" t="s">
        <v>312</v>
      </c>
      <c r="B68" s="178">
        <f>B43+B47+B59+B63+B67</f>
        <v>622989</v>
      </c>
      <c r="C68" s="178"/>
      <c r="D68" s="178">
        <f>D43+D44+D53+D63</f>
        <v>0</v>
      </c>
      <c r="E68" s="178">
        <f>E43+E47+E59+E63+E67</f>
        <v>622689</v>
      </c>
      <c r="F68" s="178">
        <f>F43+F47+F59+F63+F67</f>
        <v>651208.11</v>
      </c>
      <c r="G68" s="4"/>
    </row>
  </sheetData>
  <mergeCells count="3">
    <mergeCell ref="A1:G1"/>
    <mergeCell ref="A3:G3"/>
    <mergeCell ref="E4:G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"/>
  <sheetViews>
    <sheetView view="pageBreakPreview" topLeftCell="A3" zoomScaleNormal="100" zoomScaleSheetLayoutView="100" workbookViewId="0">
      <selection activeCell="E26" sqref="E26"/>
    </sheetView>
  </sheetViews>
  <sheetFormatPr defaultRowHeight="15.75" x14ac:dyDescent="0.25"/>
  <cols>
    <col min="1" max="1" width="53.42578125" style="2" customWidth="1"/>
    <col min="2" max="2" width="14.42578125" style="2" customWidth="1"/>
    <col min="3" max="3" width="19" style="2" customWidth="1"/>
    <col min="4" max="4" width="12" style="2" customWidth="1"/>
    <col min="5" max="6" width="12.5703125" style="2" bestFit="1" customWidth="1"/>
    <col min="7" max="7" width="12.85546875" style="2" customWidth="1"/>
    <col min="8" max="16384" width="9.140625" style="2"/>
  </cols>
  <sheetData>
    <row r="1" spans="1:7" x14ac:dyDescent="0.25">
      <c r="A1" s="349" t="s">
        <v>435</v>
      </c>
      <c r="B1" s="349"/>
      <c r="C1" s="349"/>
      <c r="D1" s="349"/>
      <c r="E1" s="349"/>
      <c r="F1" s="349"/>
      <c r="G1" s="349"/>
    </row>
    <row r="3" spans="1:7" s="41" customFormat="1" ht="29.25" customHeight="1" x14ac:dyDescent="0.25">
      <c r="A3" s="395" t="s">
        <v>196</v>
      </c>
      <c r="B3" s="395"/>
      <c r="C3" s="395"/>
      <c r="D3" s="395"/>
      <c r="E3" s="395"/>
      <c r="F3" s="395"/>
      <c r="G3" s="395"/>
    </row>
    <row r="4" spans="1:7" ht="16.5" thickBot="1" x14ac:dyDescent="0.3">
      <c r="E4" s="349" t="s">
        <v>350</v>
      </c>
      <c r="F4" s="349"/>
      <c r="G4" s="349"/>
    </row>
    <row r="5" spans="1:7" s="41" customFormat="1" ht="48" thickBot="1" x14ac:dyDescent="0.3">
      <c r="A5" s="47" t="s">
        <v>197</v>
      </c>
      <c r="B5" s="42" t="s">
        <v>193</v>
      </c>
      <c r="C5" s="48" t="s">
        <v>194</v>
      </c>
      <c r="D5" s="48" t="s">
        <v>493</v>
      </c>
      <c r="E5" s="48" t="s">
        <v>394</v>
      </c>
      <c r="F5" s="181" t="s">
        <v>433</v>
      </c>
      <c r="G5" s="43" t="s">
        <v>434</v>
      </c>
    </row>
    <row r="6" spans="1:7" s="31" customFormat="1" ht="16.5" thickBot="1" x14ac:dyDescent="0.3">
      <c r="A6" s="45" t="s">
        <v>148</v>
      </c>
      <c r="B6" s="44" t="s">
        <v>170</v>
      </c>
      <c r="C6" s="44" t="s">
        <v>149</v>
      </c>
      <c r="D6" s="44" t="s">
        <v>150</v>
      </c>
      <c r="E6" s="44" t="s">
        <v>151</v>
      </c>
      <c r="F6" s="199" t="s">
        <v>189</v>
      </c>
      <c r="G6" s="49" t="s">
        <v>495</v>
      </c>
    </row>
    <row r="7" spans="1:7" x14ac:dyDescent="0.25">
      <c r="A7" s="103"/>
      <c r="B7" s="8"/>
      <c r="C7" s="8"/>
      <c r="D7" s="8"/>
      <c r="E7" s="8"/>
      <c r="F7" s="8"/>
      <c r="G7" s="8"/>
    </row>
    <row r="8" spans="1:7" x14ac:dyDescent="0.25">
      <c r="A8" s="8" t="s">
        <v>489</v>
      </c>
      <c r="B8" s="139">
        <v>500</v>
      </c>
      <c r="C8" s="33">
        <v>2018</v>
      </c>
      <c r="D8" s="139">
        <v>0</v>
      </c>
      <c r="E8" s="139">
        <v>500</v>
      </c>
      <c r="F8" s="139">
        <v>500</v>
      </c>
      <c r="G8" s="4">
        <f>B8-D8-E8</f>
        <v>0</v>
      </c>
    </row>
    <row r="9" spans="1:7" x14ac:dyDescent="0.25">
      <c r="A9" s="4" t="s">
        <v>490</v>
      </c>
      <c r="B9" s="148">
        <v>19925</v>
      </c>
      <c r="C9" s="104">
        <v>2018</v>
      </c>
      <c r="D9" s="140">
        <v>0</v>
      </c>
      <c r="E9" s="148">
        <v>19925</v>
      </c>
      <c r="F9" s="148">
        <v>20320</v>
      </c>
      <c r="G9" s="10">
        <f>B9-D9-E9</f>
        <v>0</v>
      </c>
    </row>
    <row r="10" spans="1:7" x14ac:dyDescent="0.25">
      <c r="A10" s="4" t="s">
        <v>491</v>
      </c>
      <c r="B10" s="149">
        <v>1029</v>
      </c>
      <c r="C10" s="104">
        <v>2018</v>
      </c>
      <c r="D10" s="140">
        <v>0</v>
      </c>
      <c r="E10" s="149">
        <v>1029</v>
      </c>
      <c r="F10" s="149">
        <v>1029</v>
      </c>
      <c r="G10" s="10">
        <v>0</v>
      </c>
    </row>
    <row r="11" spans="1:7" x14ac:dyDescent="0.25">
      <c r="A11" s="4" t="s">
        <v>492</v>
      </c>
      <c r="B11" s="149">
        <v>1189</v>
      </c>
      <c r="C11" s="105">
        <v>2018</v>
      </c>
      <c r="D11" s="141">
        <v>0</v>
      </c>
      <c r="E11" s="149">
        <v>1189</v>
      </c>
      <c r="F11" s="149">
        <v>1189</v>
      </c>
      <c r="G11" s="10">
        <f t="shared" ref="G11" si="0">B11-D11-E11</f>
        <v>0</v>
      </c>
    </row>
    <row r="12" spans="1:7" ht="31.5" x14ac:dyDescent="0.25">
      <c r="A12" s="271" t="s">
        <v>511</v>
      </c>
      <c r="B12" s="149">
        <v>937.53599999999994</v>
      </c>
      <c r="C12" s="36">
        <v>2018</v>
      </c>
      <c r="D12" s="141">
        <v>0</v>
      </c>
      <c r="E12" s="149"/>
      <c r="F12" s="149">
        <f>937.536+186</f>
        <v>1123.5360000000001</v>
      </c>
      <c r="G12" s="10">
        <v>0</v>
      </c>
    </row>
    <row r="13" spans="1:7" ht="16.5" thickBot="1" x14ac:dyDescent="0.3">
      <c r="A13" s="10" t="s">
        <v>494</v>
      </c>
      <c r="B13" s="149">
        <v>2647.06</v>
      </c>
      <c r="C13" s="36">
        <v>2018</v>
      </c>
      <c r="D13" s="141">
        <v>0</v>
      </c>
      <c r="E13" s="149"/>
      <c r="F13" s="149">
        <v>2708.8159999999998</v>
      </c>
      <c r="G13" s="10">
        <v>0</v>
      </c>
    </row>
    <row r="14" spans="1:7" ht="16.5" thickBot="1" x14ac:dyDescent="0.3">
      <c r="A14" s="50" t="s">
        <v>195</v>
      </c>
      <c r="B14" s="150">
        <f>SUM(B8:B13)</f>
        <v>26227.596000000001</v>
      </c>
      <c r="C14" s="46"/>
      <c r="D14" s="147">
        <f>SUM(D9:D13)</f>
        <v>0</v>
      </c>
      <c r="E14" s="150">
        <f>SUM(E8:E13)</f>
        <v>22643</v>
      </c>
      <c r="F14" s="150">
        <f>SUM(F8:F13)</f>
        <v>26870.351999999999</v>
      </c>
      <c r="G14" s="46">
        <f>SUM(G8:G13)</f>
        <v>0</v>
      </c>
    </row>
  </sheetData>
  <mergeCells count="3">
    <mergeCell ref="A1:G1"/>
    <mergeCell ref="A3:G3"/>
    <mergeCell ref="E4:G4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92"/>
  <sheetViews>
    <sheetView topLeftCell="A14" workbookViewId="0">
      <selection activeCell="D77" sqref="D77"/>
    </sheetView>
  </sheetViews>
  <sheetFormatPr defaultRowHeight="15.75" x14ac:dyDescent="0.25"/>
  <cols>
    <col min="1" max="1" width="6.85546875" style="216" customWidth="1"/>
    <col min="2" max="2" width="60.42578125" style="215" customWidth="1"/>
    <col min="3" max="3" width="17.7109375" style="211" customWidth="1"/>
    <col min="4" max="4" width="15.28515625" style="211" customWidth="1"/>
    <col min="5" max="16384" width="9.140625" style="215"/>
  </cols>
  <sheetData>
    <row r="1" spans="1:4" x14ac:dyDescent="0.25">
      <c r="A1" s="344" t="s">
        <v>396</v>
      </c>
      <c r="B1" s="344"/>
      <c r="C1" s="344"/>
      <c r="D1" s="344"/>
    </row>
    <row r="2" spans="1:4" s="296" customFormat="1" x14ac:dyDescent="0.25">
      <c r="A2" s="343" t="s">
        <v>0</v>
      </c>
      <c r="B2" s="343"/>
      <c r="C2" s="343"/>
      <c r="D2" s="343"/>
    </row>
    <row r="3" spans="1:4" s="296" customFormat="1" x14ac:dyDescent="0.25">
      <c r="A3" s="343" t="s">
        <v>397</v>
      </c>
      <c r="B3" s="343"/>
      <c r="C3" s="343"/>
      <c r="D3" s="343"/>
    </row>
    <row r="4" spans="1:4" s="296" customFormat="1" x14ac:dyDescent="0.25">
      <c r="A4" s="343" t="s">
        <v>1</v>
      </c>
      <c r="B4" s="343"/>
      <c r="C4" s="343"/>
      <c r="D4" s="343"/>
    </row>
    <row r="5" spans="1:4" s="296" customFormat="1" ht="16.5" thickBot="1" x14ac:dyDescent="0.3">
      <c r="A5" s="297" t="s">
        <v>86</v>
      </c>
      <c r="C5" s="336"/>
      <c r="D5" s="200"/>
    </row>
    <row r="6" spans="1:4" s="299" customFormat="1" ht="16.5" thickBot="1" x14ac:dyDescent="0.3">
      <c r="A6" s="300">
        <v>1</v>
      </c>
      <c r="B6" s="301">
        <v>2</v>
      </c>
      <c r="C6" s="302">
        <v>3</v>
      </c>
      <c r="D6" s="201">
        <v>4</v>
      </c>
    </row>
    <row r="7" spans="1:4" s="296" customFormat="1" ht="32.25" thickBot="1" x14ac:dyDescent="0.3">
      <c r="A7" s="304" t="s">
        <v>4</v>
      </c>
      <c r="B7" s="301" t="s">
        <v>2</v>
      </c>
      <c r="C7" s="305" t="s">
        <v>394</v>
      </c>
      <c r="D7" s="202" t="s">
        <v>395</v>
      </c>
    </row>
    <row r="8" spans="1:4" s="296" customFormat="1" ht="16.5" thickBot="1" x14ac:dyDescent="0.3">
      <c r="A8" s="307" t="s">
        <v>3</v>
      </c>
      <c r="B8" s="317" t="s">
        <v>16</v>
      </c>
      <c r="C8" s="309">
        <f>SUM(C9:C14)</f>
        <v>257157.579</v>
      </c>
      <c r="D8" s="203">
        <f>SUM(D9:D14)</f>
        <v>266786.842</v>
      </c>
    </row>
    <row r="9" spans="1:4" x14ac:dyDescent="0.25">
      <c r="A9" s="310" t="s">
        <v>6</v>
      </c>
      <c r="B9" s="311" t="s">
        <v>30</v>
      </c>
      <c r="C9" s="204">
        <f>102239.09-7170</f>
        <v>95069.09</v>
      </c>
      <c r="D9" s="204">
        <f>102239.09-7170</f>
        <v>95069.09</v>
      </c>
    </row>
    <row r="10" spans="1:4" x14ac:dyDescent="0.25">
      <c r="A10" s="312" t="s">
        <v>7</v>
      </c>
      <c r="B10" s="193" t="s">
        <v>31</v>
      </c>
      <c r="C10" s="204">
        <v>72321.217999999993</v>
      </c>
      <c r="D10" s="204">
        <v>72321.217999999993</v>
      </c>
    </row>
    <row r="11" spans="1:4" x14ac:dyDescent="0.25">
      <c r="A11" s="312" t="s">
        <v>8</v>
      </c>
      <c r="B11" s="193" t="s">
        <v>324</v>
      </c>
      <c r="C11" s="204">
        <v>85366.501000000004</v>
      </c>
      <c r="D11" s="204">
        <f>85366.501+6042</f>
        <v>91408.501000000004</v>
      </c>
    </row>
    <row r="12" spans="1:4" x14ac:dyDescent="0.25">
      <c r="A12" s="312" t="s">
        <v>9</v>
      </c>
      <c r="B12" s="193" t="s">
        <v>33</v>
      </c>
      <c r="C12" s="204">
        <v>4400.7700000000004</v>
      </c>
      <c r="D12" s="204">
        <f>4400.77+185.804+794.113</f>
        <v>5380.6870000000008</v>
      </c>
    </row>
    <row r="13" spans="1:4" x14ac:dyDescent="0.25">
      <c r="A13" s="312" t="s">
        <v>10</v>
      </c>
      <c r="B13" s="193" t="s">
        <v>34</v>
      </c>
      <c r="C13" s="204"/>
      <c r="D13" s="194">
        <f>1019+636.4+669.925+282.021</f>
        <v>2607.346</v>
      </c>
    </row>
    <row r="14" spans="1:4" ht="16.5" thickBot="1" x14ac:dyDescent="0.3">
      <c r="A14" s="314" t="s">
        <v>11</v>
      </c>
      <c r="B14" s="315" t="s">
        <v>366</v>
      </c>
      <c r="C14" s="204"/>
      <c r="D14" s="194"/>
    </row>
    <row r="15" spans="1:4" s="296" customFormat="1" ht="16.5" thickBot="1" x14ac:dyDescent="0.3">
      <c r="A15" s="307" t="s">
        <v>5</v>
      </c>
      <c r="B15" s="317" t="s">
        <v>39</v>
      </c>
      <c r="C15" s="207">
        <f>SUM(C16:C17)</f>
        <v>116377</v>
      </c>
      <c r="D15" s="203">
        <f>SUM(D16:D17)</f>
        <v>120201.00900000001</v>
      </c>
    </row>
    <row r="16" spans="1:4" x14ac:dyDescent="0.25">
      <c r="A16" s="310" t="s">
        <v>12</v>
      </c>
      <c r="B16" s="311" t="s">
        <v>36</v>
      </c>
      <c r="C16" s="204"/>
      <c r="D16" s="194"/>
    </row>
    <row r="17" spans="1:4" x14ac:dyDescent="0.25">
      <c r="A17" s="312" t="s">
        <v>13</v>
      </c>
      <c r="B17" s="193" t="s">
        <v>37</v>
      </c>
      <c r="C17" s="204">
        <v>116377</v>
      </c>
      <c r="D17" s="194">
        <v>120201.00900000001</v>
      </c>
    </row>
    <row r="18" spans="1:4" ht="16.5" thickBot="1" x14ac:dyDescent="0.3">
      <c r="A18" s="314" t="s">
        <v>14</v>
      </c>
      <c r="B18" s="315" t="s">
        <v>38</v>
      </c>
      <c r="C18" s="204"/>
      <c r="D18" s="194"/>
    </row>
    <row r="19" spans="1:4" s="296" customFormat="1" ht="16.5" thickBot="1" x14ac:dyDescent="0.3">
      <c r="A19" s="307" t="s">
        <v>15</v>
      </c>
      <c r="B19" s="317" t="s">
        <v>43</v>
      </c>
      <c r="C19" s="207">
        <f>SUM(C20:C21)</f>
        <v>0</v>
      </c>
      <c r="D19" s="203">
        <f>SUM(D20:D21)</f>
        <v>0</v>
      </c>
    </row>
    <row r="20" spans="1:4" x14ac:dyDescent="0.25">
      <c r="A20" s="310" t="s">
        <v>17</v>
      </c>
      <c r="B20" s="311" t="s">
        <v>40</v>
      </c>
      <c r="C20" s="204"/>
      <c r="D20" s="194"/>
    </row>
    <row r="21" spans="1:4" x14ac:dyDescent="0.25">
      <c r="A21" s="312" t="s">
        <v>18</v>
      </c>
      <c r="B21" s="193" t="s">
        <v>41</v>
      </c>
      <c r="C21" s="204"/>
      <c r="D21" s="194"/>
    </row>
    <row r="22" spans="1:4" ht="16.5" thickBot="1" x14ac:dyDescent="0.3">
      <c r="A22" s="314" t="s">
        <v>19</v>
      </c>
      <c r="B22" s="315" t="s">
        <v>42</v>
      </c>
      <c r="C22" s="204"/>
      <c r="D22" s="194"/>
    </row>
    <row r="23" spans="1:4" s="296" customFormat="1" ht="16.5" thickBot="1" x14ac:dyDescent="0.3">
      <c r="A23" s="307" t="s">
        <v>20</v>
      </c>
      <c r="B23" s="317" t="s">
        <v>21</v>
      </c>
      <c r="C23" s="207">
        <f>C24+C27+C28+C29</f>
        <v>102821</v>
      </c>
      <c r="D23" s="203">
        <f>D24+D27+D28+D29</f>
        <v>102821</v>
      </c>
    </row>
    <row r="24" spans="1:4" x14ac:dyDescent="0.25">
      <c r="A24" s="310" t="s">
        <v>22</v>
      </c>
      <c r="B24" s="311" t="s">
        <v>44</v>
      </c>
      <c r="C24" s="204">
        <f>SUM(C25:C26)</f>
        <v>91027</v>
      </c>
      <c r="D24" s="194">
        <f>SUM(D25:D26)</f>
        <v>91027</v>
      </c>
    </row>
    <row r="25" spans="1:4" x14ac:dyDescent="0.25">
      <c r="A25" s="312" t="s">
        <v>23</v>
      </c>
      <c r="B25" s="193" t="s">
        <v>45</v>
      </c>
      <c r="C25" s="204">
        <v>44</v>
      </c>
      <c r="D25" s="204">
        <v>44</v>
      </c>
    </row>
    <row r="26" spans="1:4" x14ac:dyDescent="0.25">
      <c r="A26" s="312" t="s">
        <v>25</v>
      </c>
      <c r="B26" s="193" t="s">
        <v>46</v>
      </c>
      <c r="C26" s="204">
        <v>90983</v>
      </c>
      <c r="D26" s="204">
        <v>90983</v>
      </c>
    </row>
    <row r="27" spans="1:4" x14ac:dyDescent="0.25">
      <c r="A27" s="312" t="s">
        <v>26</v>
      </c>
      <c r="B27" s="193" t="s">
        <v>47</v>
      </c>
      <c r="C27" s="204">
        <v>10605</v>
      </c>
      <c r="D27" s="204">
        <v>10605</v>
      </c>
    </row>
    <row r="28" spans="1:4" x14ac:dyDescent="0.25">
      <c r="A28" s="312" t="s">
        <v>27</v>
      </c>
      <c r="B28" s="193" t="s">
        <v>48</v>
      </c>
      <c r="C28" s="204">
        <v>700</v>
      </c>
      <c r="D28" s="204">
        <v>700</v>
      </c>
    </row>
    <row r="29" spans="1:4" ht="16.5" thickBot="1" x14ac:dyDescent="0.3">
      <c r="A29" s="314" t="s">
        <v>28</v>
      </c>
      <c r="B29" s="315" t="s">
        <v>49</v>
      </c>
      <c r="C29" s="204">
        <v>489</v>
      </c>
      <c r="D29" s="204">
        <v>489</v>
      </c>
    </row>
    <row r="30" spans="1:4" s="296" customFormat="1" ht="16.5" thickBot="1" x14ac:dyDescent="0.3">
      <c r="A30" s="307" t="s">
        <v>29</v>
      </c>
      <c r="B30" s="308" t="s">
        <v>50</v>
      </c>
      <c r="C30" s="203">
        <v>27587.3</v>
      </c>
      <c r="D30" s="203">
        <v>27587.3</v>
      </c>
    </row>
    <row r="31" spans="1:4" s="296" customFormat="1" ht="16.5" thickBot="1" x14ac:dyDescent="0.3">
      <c r="A31" s="318" t="s">
        <v>51</v>
      </c>
      <c r="B31" s="319" t="s">
        <v>52</v>
      </c>
      <c r="C31" s="207">
        <f>'[1]1.1.összevont'!D31-'[1]1.3.önként'!C31-'[1]1.4.államigazg'!C31</f>
        <v>0</v>
      </c>
      <c r="D31" s="203">
        <f>'1.1.összevont'!E31-'1.3.önként'!D31-'1.4.államigazg'!D31</f>
        <v>0</v>
      </c>
    </row>
    <row r="32" spans="1:4" s="296" customFormat="1" ht="16.5" thickBot="1" x14ac:dyDescent="0.3">
      <c r="A32" s="307" t="s">
        <v>53</v>
      </c>
      <c r="B32" s="317" t="s">
        <v>159</v>
      </c>
      <c r="C32" s="207"/>
      <c r="D32" s="203"/>
    </row>
    <row r="33" spans="1:4" s="296" customFormat="1" ht="16.5" thickBot="1" x14ac:dyDescent="0.3">
      <c r="A33" s="307" t="s">
        <v>55</v>
      </c>
      <c r="B33" s="317" t="s">
        <v>56</v>
      </c>
      <c r="C33" s="207">
        <f>'[1]1.1.összevont'!D33-'[1]1.3.önként'!C33-'[1]1.4.államigazg'!C33</f>
        <v>0</v>
      </c>
      <c r="D33" s="203">
        <f>'1.1.összevont'!E33-'1.3.önként'!D33-'1.4.államigazg'!D33</f>
        <v>0</v>
      </c>
    </row>
    <row r="34" spans="1:4" s="296" customFormat="1" ht="16.5" thickBot="1" x14ac:dyDescent="0.3">
      <c r="A34" s="307" t="s">
        <v>57</v>
      </c>
      <c r="B34" s="317" t="s">
        <v>136</v>
      </c>
      <c r="C34" s="207">
        <f>C8+C15+C19+C23+C30+C31+C32+C33</f>
        <v>503942.87900000002</v>
      </c>
      <c r="D34" s="203">
        <f>D8+D15+D19+D23+D30+D31+D32+D33</f>
        <v>517396.15100000001</v>
      </c>
    </row>
    <row r="35" spans="1:4" s="296" customFormat="1" ht="16.5" thickBot="1" x14ac:dyDescent="0.3">
      <c r="A35" s="307" t="s">
        <v>58</v>
      </c>
      <c r="B35" s="317" t="s">
        <v>59</v>
      </c>
      <c r="C35" s="207">
        <f>SUM(C36:C38)</f>
        <v>0</v>
      </c>
      <c r="D35" s="203">
        <f>SUM(D36:D38)</f>
        <v>0</v>
      </c>
    </row>
    <row r="36" spans="1:4" x14ac:dyDescent="0.25">
      <c r="A36" s="310" t="s">
        <v>60</v>
      </c>
      <c r="B36" s="311" t="s">
        <v>61</v>
      </c>
      <c r="C36" s="204"/>
      <c r="D36" s="205"/>
    </row>
    <row r="37" spans="1:4" x14ac:dyDescent="0.25">
      <c r="A37" s="312" t="s">
        <v>62</v>
      </c>
      <c r="B37" s="193" t="s">
        <v>63</v>
      </c>
      <c r="C37" s="204"/>
      <c r="D37" s="206"/>
    </row>
    <row r="38" spans="1:4" ht="16.5" thickBot="1" x14ac:dyDescent="0.3">
      <c r="A38" s="314" t="s">
        <v>64</v>
      </c>
      <c r="B38" s="315" t="s">
        <v>65</v>
      </c>
      <c r="C38" s="204"/>
      <c r="D38" s="206"/>
    </row>
    <row r="39" spans="1:4" s="296" customFormat="1" ht="16.5" thickBot="1" x14ac:dyDescent="0.3">
      <c r="A39" s="307" t="s">
        <v>66</v>
      </c>
      <c r="B39" s="317" t="s">
        <v>67</v>
      </c>
      <c r="C39" s="207"/>
      <c r="D39" s="207"/>
    </row>
    <row r="40" spans="1:4" s="296" customFormat="1" ht="16.5" thickBot="1" x14ac:dyDescent="0.3">
      <c r="A40" s="307" t="s">
        <v>68</v>
      </c>
      <c r="B40" s="317" t="s">
        <v>496</v>
      </c>
      <c r="C40" s="207">
        <v>22555.454000000002</v>
      </c>
      <c r="D40" s="207">
        <f>32452.054-4239.085</f>
        <v>28212.969000000001</v>
      </c>
    </row>
    <row r="41" spans="1:4" s="296" customFormat="1" ht="16.5" thickBot="1" x14ac:dyDescent="0.3">
      <c r="A41" s="307" t="s">
        <v>70</v>
      </c>
      <c r="B41" s="317" t="s">
        <v>71</v>
      </c>
      <c r="C41" s="207"/>
      <c r="D41" s="208"/>
    </row>
    <row r="42" spans="1:4" x14ac:dyDescent="0.25">
      <c r="A42" s="310" t="s">
        <v>72</v>
      </c>
      <c r="B42" s="311" t="s">
        <v>73</v>
      </c>
      <c r="C42" s="204"/>
      <c r="D42" s="194"/>
    </row>
    <row r="43" spans="1:4" ht="16.5" thickBot="1" x14ac:dyDescent="0.3">
      <c r="A43" s="314" t="s">
        <v>74</v>
      </c>
      <c r="B43" s="315" t="s">
        <v>75</v>
      </c>
      <c r="C43" s="204"/>
      <c r="D43" s="209"/>
    </row>
    <row r="44" spans="1:4" s="296" customFormat="1" ht="16.5" thickBot="1" x14ac:dyDescent="0.3">
      <c r="A44" s="307" t="s">
        <v>76</v>
      </c>
      <c r="B44" s="317" t="s">
        <v>77</v>
      </c>
      <c r="C44" s="334">
        <f>'[1]1.1.összevont'!D44-'[1]1.3.önként'!C44-'[1]1.4.államigazg'!C44</f>
        <v>0</v>
      </c>
      <c r="D44" s="203">
        <v>0</v>
      </c>
    </row>
    <row r="45" spans="1:4" s="296" customFormat="1" ht="16.5" thickBot="1" x14ac:dyDescent="0.3">
      <c r="A45" s="307" t="s">
        <v>78</v>
      </c>
      <c r="B45" s="317" t="s">
        <v>79</v>
      </c>
      <c r="C45" s="334">
        <f>'[1]1.1.összevont'!D45-'[1]1.3.önként'!C45-'[1]1.4.államigazg'!C45</f>
        <v>0</v>
      </c>
      <c r="D45" s="203">
        <v>0</v>
      </c>
    </row>
    <row r="46" spans="1:4" s="296" customFormat="1" ht="16.5" thickBot="1" x14ac:dyDescent="0.3">
      <c r="A46" s="307" t="s">
        <v>80</v>
      </c>
      <c r="B46" s="317" t="s">
        <v>81</v>
      </c>
      <c r="C46" s="334">
        <f>'[1]1.1.összevont'!D46-'[1]1.3.önként'!C46-'[1]1.4.államigazg'!C46</f>
        <v>0</v>
      </c>
      <c r="D46" s="203">
        <v>0</v>
      </c>
    </row>
    <row r="47" spans="1:4" s="296" customFormat="1" ht="16.5" thickBot="1" x14ac:dyDescent="0.3">
      <c r="A47" s="307" t="s">
        <v>82</v>
      </c>
      <c r="B47" s="317" t="s">
        <v>83</v>
      </c>
      <c r="C47" s="207">
        <f>C35+C39+C40+C41+C44+C45+C46</f>
        <v>22555.454000000002</v>
      </c>
      <c r="D47" s="203">
        <f>D35+D39+D40+D41+D44+D45+D46</f>
        <v>28212.969000000001</v>
      </c>
    </row>
    <row r="48" spans="1:4" s="296" customFormat="1" ht="32.25" thickBot="1" x14ac:dyDescent="0.3">
      <c r="A48" s="307" t="s">
        <v>84</v>
      </c>
      <c r="B48" s="322" t="s">
        <v>85</v>
      </c>
      <c r="C48" s="337">
        <f>C34+C47</f>
        <v>526498.33299999998</v>
      </c>
      <c r="D48" s="210">
        <f>D34+D47</f>
        <v>545609.12</v>
      </c>
    </row>
    <row r="50" spans="1:4" x14ac:dyDescent="0.25">
      <c r="A50" s="343" t="s">
        <v>87</v>
      </c>
      <c r="B50" s="343"/>
      <c r="C50" s="343"/>
    </row>
    <row r="51" spans="1:4" ht="16.5" thickBot="1" x14ac:dyDescent="0.3">
      <c r="A51" s="297" t="s">
        <v>88</v>
      </c>
      <c r="B51" s="296"/>
      <c r="C51" s="336"/>
    </row>
    <row r="52" spans="1:4" ht="32.25" thickBot="1" x14ac:dyDescent="0.3">
      <c r="A52" s="338" t="s">
        <v>4</v>
      </c>
      <c r="B52" s="317" t="s">
        <v>89</v>
      </c>
      <c r="C52" s="305" t="s">
        <v>394</v>
      </c>
      <c r="D52" s="202" t="s">
        <v>395</v>
      </c>
    </row>
    <row r="53" spans="1:4" ht="16.5" thickBot="1" x14ac:dyDescent="0.3">
      <c r="A53" s="307" t="s">
        <v>3</v>
      </c>
      <c r="B53" s="317" t="s">
        <v>107</v>
      </c>
      <c r="C53" s="309">
        <f>C54+C55+C56+C57+C58+C64</f>
        <v>477160.6</v>
      </c>
      <c r="D53" s="203">
        <f>D54+D55+D56+D57+D58+D64</f>
        <v>494697.951</v>
      </c>
    </row>
    <row r="54" spans="1:4" x14ac:dyDescent="0.25">
      <c r="A54" s="324" t="s">
        <v>6</v>
      </c>
      <c r="B54" s="311" t="s">
        <v>90</v>
      </c>
      <c r="C54" s="206">
        <v>271777</v>
      </c>
      <c r="D54" s="194">
        <v>283092.00199999998</v>
      </c>
    </row>
    <row r="55" spans="1:4" x14ac:dyDescent="0.25">
      <c r="A55" s="325" t="s">
        <v>7</v>
      </c>
      <c r="B55" s="193" t="s">
        <v>91</v>
      </c>
      <c r="C55" s="206">
        <v>45678.8</v>
      </c>
      <c r="D55" s="194">
        <v>47604.680999999997</v>
      </c>
    </row>
    <row r="56" spans="1:4" x14ac:dyDescent="0.25">
      <c r="A56" s="325" t="s">
        <v>8</v>
      </c>
      <c r="B56" s="193" t="s">
        <v>92</v>
      </c>
      <c r="C56" s="206">
        <v>128939.7</v>
      </c>
      <c r="D56" s="194">
        <v>130008.38800000001</v>
      </c>
    </row>
    <row r="57" spans="1:4" x14ac:dyDescent="0.25">
      <c r="A57" s="325" t="s">
        <v>9</v>
      </c>
      <c r="B57" s="193" t="s">
        <v>93</v>
      </c>
      <c r="C57" s="206">
        <v>2000</v>
      </c>
      <c r="D57" s="194">
        <v>2707.78</v>
      </c>
    </row>
    <row r="58" spans="1:4" x14ac:dyDescent="0.25">
      <c r="A58" s="325" t="s">
        <v>10</v>
      </c>
      <c r="B58" s="193" t="s">
        <v>94</v>
      </c>
      <c r="C58" s="206">
        <f>SUM(C59:C63)</f>
        <v>28765.1</v>
      </c>
      <c r="D58" s="194">
        <f>SUM(D59:D63)</f>
        <v>31285.1</v>
      </c>
    </row>
    <row r="59" spans="1:4" x14ac:dyDescent="0.25">
      <c r="A59" s="325" t="s">
        <v>11</v>
      </c>
      <c r="B59" s="326" t="s">
        <v>379</v>
      </c>
      <c r="C59" s="206">
        <v>3000</v>
      </c>
      <c r="D59" s="194">
        <v>3000</v>
      </c>
    </row>
    <row r="60" spans="1:4" x14ac:dyDescent="0.25">
      <c r="A60" s="325" t="s">
        <v>96</v>
      </c>
      <c r="B60" s="193" t="s">
        <v>102</v>
      </c>
      <c r="C60" s="206"/>
      <c r="D60" s="194"/>
    </row>
    <row r="61" spans="1:4" x14ac:dyDescent="0.25">
      <c r="A61" s="325" t="s">
        <v>97</v>
      </c>
      <c r="B61" s="193" t="s">
        <v>137</v>
      </c>
      <c r="C61" s="206"/>
      <c r="D61" s="194"/>
    </row>
    <row r="62" spans="1:4" x14ac:dyDescent="0.25">
      <c r="A62" s="325" t="s">
        <v>98</v>
      </c>
      <c r="B62" s="193" t="s">
        <v>138</v>
      </c>
      <c r="C62" s="206">
        <v>2903</v>
      </c>
      <c r="D62" s="194">
        <v>2903</v>
      </c>
    </row>
    <row r="63" spans="1:4" x14ac:dyDescent="0.25">
      <c r="A63" s="325" t="s">
        <v>99</v>
      </c>
      <c r="B63" s="193" t="s">
        <v>139</v>
      </c>
      <c r="C63" s="206">
        <v>22862.1</v>
      </c>
      <c r="D63" s="194">
        <v>25382.1</v>
      </c>
    </row>
    <row r="64" spans="1:4" x14ac:dyDescent="0.25">
      <c r="A64" s="325" t="s">
        <v>100</v>
      </c>
      <c r="B64" s="193" t="s">
        <v>101</v>
      </c>
      <c r="C64" s="206">
        <f>SUM(C65:C66)</f>
        <v>0</v>
      </c>
      <c r="D64" s="194"/>
    </row>
    <row r="65" spans="1:4" x14ac:dyDescent="0.25">
      <c r="A65" s="325" t="s">
        <v>103</v>
      </c>
      <c r="B65" s="193" t="s">
        <v>104</v>
      </c>
      <c r="C65" s="206"/>
      <c r="D65" s="194"/>
    </row>
    <row r="66" spans="1:4" ht="16.5" thickBot="1" x14ac:dyDescent="0.3">
      <c r="A66" s="327" t="s">
        <v>105</v>
      </c>
      <c r="B66" s="315" t="s">
        <v>106</v>
      </c>
      <c r="C66" s="206"/>
      <c r="D66" s="194"/>
    </row>
    <row r="67" spans="1:4" ht="16.5" thickBot="1" x14ac:dyDescent="0.3">
      <c r="A67" s="307" t="s">
        <v>5</v>
      </c>
      <c r="B67" s="317" t="s">
        <v>120</v>
      </c>
      <c r="C67" s="207">
        <f>C68+C70+C72</f>
        <v>38410</v>
      </c>
      <c r="D67" s="203">
        <f>D68+D70+D72</f>
        <v>43063.351999999999</v>
      </c>
    </row>
    <row r="68" spans="1:4" x14ac:dyDescent="0.25">
      <c r="A68" s="324" t="s">
        <v>12</v>
      </c>
      <c r="B68" s="311" t="s">
        <v>108</v>
      </c>
      <c r="C68" s="206">
        <v>15767</v>
      </c>
      <c r="D68" s="194">
        <v>16193</v>
      </c>
    </row>
    <row r="69" spans="1:4" x14ac:dyDescent="0.25">
      <c r="A69" s="325" t="s">
        <v>109</v>
      </c>
      <c r="B69" s="193" t="s">
        <v>110</v>
      </c>
      <c r="C69" s="206"/>
      <c r="D69" s="194"/>
    </row>
    <row r="70" spans="1:4" x14ac:dyDescent="0.25">
      <c r="A70" s="325" t="s">
        <v>14</v>
      </c>
      <c r="B70" s="193" t="s">
        <v>111</v>
      </c>
      <c r="C70" s="206">
        <v>22643</v>
      </c>
      <c r="D70" s="194">
        <v>26870.351999999999</v>
      </c>
    </row>
    <row r="71" spans="1:4" x14ac:dyDescent="0.25">
      <c r="A71" s="325" t="s">
        <v>112</v>
      </c>
      <c r="B71" s="193" t="s">
        <v>113</v>
      </c>
      <c r="C71" s="206"/>
      <c r="D71" s="194"/>
    </row>
    <row r="72" spans="1:4" x14ac:dyDescent="0.25">
      <c r="A72" s="325" t="s">
        <v>114</v>
      </c>
      <c r="B72" s="193" t="s">
        <v>115</v>
      </c>
      <c r="C72" s="206">
        <f>SUM(C73:C74)</f>
        <v>0</v>
      </c>
      <c r="D72" s="194"/>
    </row>
    <row r="73" spans="1:4" x14ac:dyDescent="0.25">
      <c r="A73" s="325" t="s">
        <v>116</v>
      </c>
      <c r="B73" s="193" t="s">
        <v>117</v>
      </c>
      <c r="C73" s="206"/>
      <c r="D73" s="194"/>
    </row>
    <row r="74" spans="1:4" ht="16.5" thickBot="1" x14ac:dyDescent="0.3">
      <c r="A74" s="327" t="s">
        <v>118</v>
      </c>
      <c r="B74" s="315" t="s">
        <v>119</v>
      </c>
      <c r="C74" s="206"/>
      <c r="D74" s="194"/>
    </row>
    <row r="75" spans="1:4" ht="16.5" thickBot="1" x14ac:dyDescent="0.3">
      <c r="A75" s="307" t="s">
        <v>15</v>
      </c>
      <c r="B75" s="317" t="s">
        <v>121</v>
      </c>
      <c r="C75" s="207">
        <f>C53+C67</f>
        <v>515570.6</v>
      </c>
      <c r="D75" s="203">
        <f>D53+D67</f>
        <v>537761.30299999996</v>
      </c>
    </row>
    <row r="76" spans="1:4" ht="16.5" thickBot="1" x14ac:dyDescent="0.3">
      <c r="A76" s="307" t="s">
        <v>20</v>
      </c>
      <c r="B76" s="317" t="s">
        <v>125</v>
      </c>
      <c r="C76" s="334">
        <f>SUM(C77:C79)</f>
        <v>0</v>
      </c>
      <c r="D76" s="203">
        <v>0</v>
      </c>
    </row>
    <row r="77" spans="1:4" x14ac:dyDescent="0.25">
      <c r="A77" s="324" t="s">
        <v>22</v>
      </c>
      <c r="B77" s="311" t="s">
        <v>122</v>
      </c>
      <c r="C77" s="206"/>
      <c r="D77" s="206"/>
    </row>
    <row r="78" spans="1:4" x14ac:dyDescent="0.25">
      <c r="A78" s="325" t="s">
        <v>26</v>
      </c>
      <c r="B78" s="193" t="s">
        <v>123</v>
      </c>
      <c r="C78" s="206"/>
      <c r="D78" s="194"/>
    </row>
    <row r="79" spans="1:4" ht="16.5" thickBot="1" x14ac:dyDescent="0.3">
      <c r="A79" s="327" t="s">
        <v>27</v>
      </c>
      <c r="B79" s="315" t="s">
        <v>124</v>
      </c>
      <c r="C79" s="206"/>
      <c r="D79" s="209"/>
    </row>
    <row r="80" spans="1:4" ht="16.5" thickBot="1" x14ac:dyDescent="0.3">
      <c r="A80" s="328" t="s">
        <v>29</v>
      </c>
      <c r="B80" s="329" t="s">
        <v>126</v>
      </c>
      <c r="C80" s="203"/>
      <c r="D80" s="212"/>
    </row>
    <row r="81" spans="1:4" ht="16.5" thickBot="1" x14ac:dyDescent="0.3">
      <c r="A81" s="307" t="s">
        <v>51</v>
      </c>
      <c r="B81" s="317" t="s">
        <v>129</v>
      </c>
      <c r="C81" s="207">
        <f>C82</f>
        <v>10927.733</v>
      </c>
      <c r="D81" s="203">
        <f>D82</f>
        <v>10927.733</v>
      </c>
    </row>
    <row r="82" spans="1:4" ht="16.5" thickBot="1" x14ac:dyDescent="0.3">
      <c r="A82" s="331" t="s">
        <v>127</v>
      </c>
      <c r="B82" s="332" t="s">
        <v>128</v>
      </c>
      <c r="C82" s="333">
        <v>10927.733</v>
      </c>
      <c r="D82" s="213">
        <v>10927.733</v>
      </c>
    </row>
    <row r="83" spans="1:4" ht="16.5" thickBot="1" x14ac:dyDescent="0.3">
      <c r="A83" s="307" t="s">
        <v>53</v>
      </c>
      <c r="B83" s="317" t="s">
        <v>130</v>
      </c>
      <c r="C83" s="207"/>
      <c r="D83" s="212"/>
    </row>
    <row r="84" spans="1:4" ht="16.5" thickBot="1" x14ac:dyDescent="0.3">
      <c r="A84" s="307" t="s">
        <v>55</v>
      </c>
      <c r="B84" s="317" t="s">
        <v>131</v>
      </c>
      <c r="C84" s="207"/>
      <c r="D84" s="212"/>
    </row>
    <row r="85" spans="1:4" ht="16.5" thickBot="1" x14ac:dyDescent="0.3">
      <c r="A85" s="307" t="s">
        <v>132</v>
      </c>
      <c r="B85" s="317" t="s">
        <v>133</v>
      </c>
      <c r="C85" s="207"/>
      <c r="D85" s="212"/>
    </row>
    <row r="86" spans="1:4" ht="16.5" thickBot="1" x14ac:dyDescent="0.3">
      <c r="A86" s="307" t="s">
        <v>58</v>
      </c>
      <c r="B86" s="317" t="s">
        <v>134</v>
      </c>
      <c r="C86" s="207">
        <f>C76+C80+C81+C83+C84+C85</f>
        <v>10927.733</v>
      </c>
      <c r="D86" s="203">
        <f>D76+D80+D81+D83+D84+D85</f>
        <v>10927.733</v>
      </c>
    </row>
    <row r="87" spans="1:4" ht="16.5" thickBot="1" x14ac:dyDescent="0.3">
      <c r="A87" s="307" t="s">
        <v>66</v>
      </c>
      <c r="B87" s="317" t="s">
        <v>135</v>
      </c>
      <c r="C87" s="207">
        <f>C75+C86</f>
        <v>526498.33299999998</v>
      </c>
      <c r="D87" s="203">
        <f>D75+D86</f>
        <v>548689.03599999996</v>
      </c>
    </row>
    <row r="89" spans="1:4" s="323" customFormat="1" ht="29.25" customHeight="1" x14ac:dyDescent="0.25">
      <c r="A89" s="342" t="s">
        <v>140</v>
      </c>
      <c r="B89" s="342"/>
      <c r="C89" s="342"/>
      <c r="D89" s="214"/>
    </row>
    <row r="90" spans="1:4" ht="16.5" thickBot="1" x14ac:dyDescent="0.3">
      <c r="A90" s="297" t="s">
        <v>141</v>
      </c>
      <c r="B90" s="296"/>
      <c r="C90" s="298"/>
    </row>
    <row r="91" spans="1:4" ht="32.25" thickBot="1" x14ac:dyDescent="0.3">
      <c r="A91" s="307" t="s">
        <v>3</v>
      </c>
      <c r="B91" s="322" t="s">
        <v>142</v>
      </c>
      <c r="C91" s="334">
        <f>C34-C75</f>
        <v>-11627.720999999961</v>
      </c>
      <c r="D91" s="203">
        <f>D34-D75</f>
        <v>-20365.151999999944</v>
      </c>
    </row>
    <row r="92" spans="1:4" ht="32.25" thickBot="1" x14ac:dyDescent="0.3">
      <c r="A92" s="307" t="s">
        <v>5</v>
      </c>
      <c r="B92" s="322" t="s">
        <v>143</v>
      </c>
      <c r="C92" s="334">
        <f>C47-C86</f>
        <v>11627.721000000001</v>
      </c>
      <c r="D92" s="203">
        <f>D47-D86</f>
        <v>17285.236000000001</v>
      </c>
    </row>
  </sheetData>
  <mergeCells count="6">
    <mergeCell ref="A89:C89"/>
    <mergeCell ref="A50:C50"/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92"/>
  <sheetViews>
    <sheetView workbookViewId="0">
      <selection activeCell="D19" sqref="D19"/>
    </sheetView>
  </sheetViews>
  <sheetFormatPr defaultRowHeight="15.75" x14ac:dyDescent="0.25"/>
  <cols>
    <col min="1" max="1" width="6.85546875" style="12" customWidth="1"/>
    <col min="2" max="2" width="60.42578125" style="2" customWidth="1"/>
    <col min="3" max="3" width="15.28515625" style="143" customWidth="1"/>
    <col min="4" max="4" width="15.7109375" style="2" customWidth="1"/>
    <col min="5" max="16384" width="9.140625" style="2"/>
  </cols>
  <sheetData>
    <row r="1" spans="1:4" x14ac:dyDescent="0.25">
      <c r="A1" s="346" t="s">
        <v>398</v>
      </c>
      <c r="B1" s="346"/>
      <c r="C1" s="346"/>
      <c r="D1" s="346"/>
    </row>
    <row r="2" spans="1:4" s="1" customFormat="1" x14ac:dyDescent="0.25">
      <c r="A2" s="345" t="s">
        <v>0</v>
      </c>
      <c r="B2" s="345"/>
      <c r="C2" s="345"/>
      <c r="D2" s="345"/>
    </row>
    <row r="3" spans="1:4" s="1" customFormat="1" ht="44.25" customHeight="1" x14ac:dyDescent="0.25">
      <c r="A3" s="347" t="s">
        <v>399</v>
      </c>
      <c r="B3" s="347"/>
      <c r="C3" s="347"/>
      <c r="D3" s="347"/>
    </row>
    <row r="4" spans="1:4" s="1" customFormat="1" x14ac:dyDescent="0.25">
      <c r="A4" s="345" t="s">
        <v>1</v>
      </c>
      <c r="B4" s="345"/>
      <c r="C4" s="345"/>
      <c r="D4" s="345"/>
    </row>
    <row r="5" spans="1:4" s="1" customFormat="1" ht="16.5" thickBot="1" x14ac:dyDescent="0.3">
      <c r="A5" s="18" t="s">
        <v>86</v>
      </c>
      <c r="C5" s="136"/>
    </row>
    <row r="6" spans="1:4" s="3" customFormat="1" ht="16.5" thickBot="1" x14ac:dyDescent="0.3">
      <c r="A6" s="5">
        <v>1</v>
      </c>
      <c r="B6" s="6">
        <v>2</v>
      </c>
      <c r="C6" s="168">
        <v>3</v>
      </c>
      <c r="D6" s="171">
        <v>4</v>
      </c>
    </row>
    <row r="7" spans="1:4" s="1" customFormat="1" ht="32.25" thickBot="1" x14ac:dyDescent="0.3">
      <c r="A7" s="7" t="s">
        <v>4</v>
      </c>
      <c r="B7" s="6" t="s">
        <v>2</v>
      </c>
      <c r="C7" s="170" t="s">
        <v>394</v>
      </c>
      <c r="D7" s="173" t="s">
        <v>395</v>
      </c>
    </row>
    <row r="8" spans="1:4" s="1" customFormat="1" ht="16.5" thickBot="1" x14ac:dyDescent="0.3">
      <c r="A8" s="14" t="s">
        <v>3</v>
      </c>
      <c r="B8" s="9" t="s">
        <v>16</v>
      </c>
      <c r="C8" s="137">
        <f>SUM(C9:C14)</f>
        <v>34830</v>
      </c>
      <c r="D8" s="145">
        <f>SUM(D9:D14)</f>
        <v>44062.05</v>
      </c>
    </row>
    <row r="9" spans="1:4" x14ac:dyDescent="0.25">
      <c r="A9" s="15" t="s">
        <v>6</v>
      </c>
      <c r="B9" s="8" t="s">
        <v>30</v>
      </c>
      <c r="C9" s="183"/>
      <c r="D9" s="140"/>
    </row>
    <row r="10" spans="1:4" x14ac:dyDescent="0.25">
      <c r="A10" s="16" t="s">
        <v>7</v>
      </c>
      <c r="B10" s="4" t="s">
        <v>31</v>
      </c>
      <c r="C10" s="184"/>
      <c r="D10" s="140"/>
    </row>
    <row r="11" spans="1:4" x14ac:dyDescent="0.25">
      <c r="A11" s="16" t="s">
        <v>8</v>
      </c>
      <c r="B11" s="4" t="s">
        <v>32</v>
      </c>
      <c r="C11" s="184">
        <v>34830</v>
      </c>
      <c r="D11" s="140">
        <v>44062.05</v>
      </c>
    </row>
    <row r="12" spans="1:4" x14ac:dyDescent="0.25">
      <c r="A12" s="16" t="s">
        <v>9</v>
      </c>
      <c r="B12" s="4" t="s">
        <v>33</v>
      </c>
      <c r="C12" s="184"/>
      <c r="D12" s="140"/>
    </row>
    <row r="13" spans="1:4" x14ac:dyDescent="0.25">
      <c r="A13" s="16" t="s">
        <v>10</v>
      </c>
      <c r="B13" s="4" t="s">
        <v>34</v>
      </c>
      <c r="C13" s="184"/>
      <c r="D13" s="140"/>
    </row>
    <row r="14" spans="1:4" ht="16.5" thickBot="1" x14ac:dyDescent="0.3">
      <c r="A14" s="17" t="s">
        <v>11</v>
      </c>
      <c r="B14" s="10" t="s">
        <v>366</v>
      </c>
      <c r="C14" s="185"/>
      <c r="D14" s="140"/>
    </row>
    <row r="15" spans="1:4" s="1" customFormat="1" ht="16.5" thickBot="1" x14ac:dyDescent="0.3">
      <c r="A15" s="14" t="s">
        <v>5</v>
      </c>
      <c r="B15" s="9" t="s">
        <v>39</v>
      </c>
      <c r="C15" s="137">
        <f>SUM(C16:C17)</f>
        <v>32493</v>
      </c>
      <c r="D15" s="145">
        <f>SUM(D16:D17)</f>
        <v>59695.324000000001</v>
      </c>
    </row>
    <row r="16" spans="1:4" x14ac:dyDescent="0.25">
      <c r="A16" s="15" t="s">
        <v>12</v>
      </c>
      <c r="B16" s="8" t="s">
        <v>36</v>
      </c>
      <c r="C16" s="183"/>
      <c r="D16" s="140"/>
    </row>
    <row r="17" spans="1:4" x14ac:dyDescent="0.25">
      <c r="A17" s="16" t="s">
        <v>13</v>
      </c>
      <c r="B17" s="4" t="s">
        <v>37</v>
      </c>
      <c r="C17" s="184">
        <v>32493</v>
      </c>
      <c r="D17" s="140">
        <v>59695.324000000001</v>
      </c>
    </row>
    <row r="18" spans="1:4" ht="16.5" thickBot="1" x14ac:dyDescent="0.3">
      <c r="A18" s="17" t="s">
        <v>14</v>
      </c>
      <c r="B18" s="10" t="s">
        <v>38</v>
      </c>
      <c r="C18" s="185">
        <v>28965</v>
      </c>
      <c r="D18" s="140">
        <v>56182.720000000001</v>
      </c>
    </row>
    <row r="19" spans="1:4" s="1" customFormat="1" ht="16.5" thickBot="1" x14ac:dyDescent="0.3">
      <c r="A19" s="14" t="s">
        <v>15</v>
      </c>
      <c r="B19" s="9" t="s">
        <v>43</v>
      </c>
      <c r="C19" s="137">
        <f>SUM(C20:C21)</f>
        <v>322909</v>
      </c>
      <c r="D19" s="145">
        <f>SUM(D20:D21)</f>
        <v>313129.05499999999</v>
      </c>
    </row>
    <row r="20" spans="1:4" x14ac:dyDescent="0.25">
      <c r="A20" s="15" t="s">
        <v>17</v>
      </c>
      <c r="B20" s="8" t="s">
        <v>40</v>
      </c>
      <c r="C20" s="183">
        <v>15000</v>
      </c>
      <c r="D20" s="140">
        <v>15000</v>
      </c>
    </row>
    <row r="21" spans="1:4" x14ac:dyDescent="0.25">
      <c r="A21" s="16" t="s">
        <v>18</v>
      </c>
      <c r="B21" s="4" t="s">
        <v>41</v>
      </c>
      <c r="C21" s="184">
        <v>307909</v>
      </c>
      <c r="D21" s="140">
        <v>298129.05499999999</v>
      </c>
    </row>
    <row r="22" spans="1:4" ht="16.5" thickBot="1" x14ac:dyDescent="0.3">
      <c r="A22" s="17" t="s">
        <v>19</v>
      </c>
      <c r="B22" s="10" t="s">
        <v>42</v>
      </c>
      <c r="C22" s="185">
        <v>307909</v>
      </c>
      <c r="D22" s="140">
        <v>298129.05499999999</v>
      </c>
    </row>
    <row r="23" spans="1:4" s="1" customFormat="1" ht="16.5" thickBot="1" x14ac:dyDescent="0.3">
      <c r="A23" s="14" t="s">
        <v>20</v>
      </c>
      <c r="B23" s="9" t="s">
        <v>21</v>
      </c>
      <c r="C23" s="137">
        <f>C24+C27+C28+C29</f>
        <v>0</v>
      </c>
      <c r="D23" s="145">
        <f>D24+D27+D28+D29</f>
        <v>0</v>
      </c>
    </row>
    <row r="24" spans="1:4" x14ac:dyDescent="0.25">
      <c r="A24" s="15" t="s">
        <v>22</v>
      </c>
      <c r="B24" s="8" t="s">
        <v>44</v>
      </c>
      <c r="C24" s="183">
        <f>C25+C26</f>
        <v>0</v>
      </c>
      <c r="D24" s="172">
        <f>D25+D26</f>
        <v>0</v>
      </c>
    </row>
    <row r="25" spans="1:4" x14ac:dyDescent="0.25">
      <c r="A25" s="16" t="s">
        <v>23</v>
      </c>
      <c r="B25" s="4" t="s">
        <v>45</v>
      </c>
      <c r="C25" s="184"/>
      <c r="D25" s="140"/>
    </row>
    <row r="26" spans="1:4" x14ac:dyDescent="0.25">
      <c r="A26" s="16" t="s">
        <v>25</v>
      </c>
      <c r="B26" s="4" t="s">
        <v>46</v>
      </c>
      <c r="C26" s="184"/>
      <c r="D26" s="140"/>
    </row>
    <row r="27" spans="1:4" x14ac:dyDescent="0.25">
      <c r="A27" s="16" t="s">
        <v>26</v>
      </c>
      <c r="B27" s="4" t="s">
        <v>47</v>
      </c>
      <c r="C27" s="184"/>
      <c r="D27" s="140"/>
    </row>
    <row r="28" spans="1:4" x14ac:dyDescent="0.25">
      <c r="A28" s="16" t="s">
        <v>27</v>
      </c>
      <c r="B28" s="4" t="s">
        <v>48</v>
      </c>
      <c r="C28" s="184"/>
      <c r="D28" s="140"/>
    </row>
    <row r="29" spans="1:4" ht="16.5" thickBot="1" x14ac:dyDescent="0.3">
      <c r="A29" s="17" t="s">
        <v>28</v>
      </c>
      <c r="B29" s="10" t="s">
        <v>49</v>
      </c>
      <c r="C29" s="185"/>
      <c r="D29" s="141"/>
    </row>
    <row r="30" spans="1:4" s="1" customFormat="1" ht="16.5" thickBot="1" x14ac:dyDescent="0.3">
      <c r="A30" s="14" t="s">
        <v>29</v>
      </c>
      <c r="B30" s="9" t="s">
        <v>50</v>
      </c>
      <c r="C30" s="137">
        <v>33986</v>
      </c>
      <c r="D30" s="203">
        <v>33986</v>
      </c>
    </row>
    <row r="31" spans="1:4" s="1" customFormat="1" ht="16.5" thickBot="1" x14ac:dyDescent="0.3">
      <c r="A31" s="19" t="s">
        <v>51</v>
      </c>
      <c r="B31" s="20" t="s">
        <v>52</v>
      </c>
      <c r="C31" s="186"/>
      <c r="D31" s="176"/>
    </row>
    <row r="32" spans="1:4" s="1" customFormat="1" ht="16.5" thickBot="1" x14ac:dyDescent="0.3">
      <c r="A32" s="14" t="s">
        <v>53</v>
      </c>
      <c r="B32" s="9" t="s">
        <v>159</v>
      </c>
      <c r="C32" s="137">
        <v>210</v>
      </c>
      <c r="D32" s="145">
        <v>210</v>
      </c>
    </row>
    <row r="33" spans="1:4" s="1" customFormat="1" ht="16.5" thickBot="1" x14ac:dyDescent="0.3">
      <c r="A33" s="14" t="s">
        <v>55</v>
      </c>
      <c r="B33" s="9" t="s">
        <v>56</v>
      </c>
      <c r="C33" s="137"/>
      <c r="D33" s="161"/>
    </row>
    <row r="34" spans="1:4" s="1" customFormat="1" ht="16.5" thickBot="1" x14ac:dyDescent="0.3">
      <c r="A34" s="14" t="s">
        <v>57</v>
      </c>
      <c r="B34" s="9" t="s">
        <v>136</v>
      </c>
      <c r="C34" s="137">
        <f>C8+C15+C19+C23+C30+C31+C32+C33</f>
        <v>424428</v>
      </c>
      <c r="D34" s="145">
        <f>D8+D15+D19+D23+D30+D31+D32+D33</f>
        <v>451082.429</v>
      </c>
    </row>
    <row r="35" spans="1:4" s="1" customFormat="1" ht="16.5" thickBot="1" x14ac:dyDescent="0.3">
      <c r="A35" s="14" t="s">
        <v>58</v>
      </c>
      <c r="B35" s="9" t="s">
        <v>59</v>
      </c>
      <c r="C35" s="137">
        <f>SUM(C36:C38)</f>
        <v>0</v>
      </c>
      <c r="D35" s="145">
        <f>SUM(D36:D38)</f>
        <v>37243.444000000003</v>
      </c>
    </row>
    <row r="36" spans="1:4" x14ac:dyDescent="0.25">
      <c r="A36" s="15" t="s">
        <v>60</v>
      </c>
      <c r="B36" s="8" t="s">
        <v>61</v>
      </c>
      <c r="C36" s="183"/>
      <c r="D36" s="140">
        <v>37243.444000000003</v>
      </c>
    </row>
    <row r="37" spans="1:4" x14ac:dyDescent="0.25">
      <c r="A37" s="16" t="s">
        <v>62</v>
      </c>
      <c r="B37" s="4" t="s">
        <v>63</v>
      </c>
      <c r="C37" s="184"/>
      <c r="D37" s="140"/>
    </row>
    <row r="38" spans="1:4" ht="16.5" thickBot="1" x14ac:dyDescent="0.3">
      <c r="A38" s="17" t="s">
        <v>64</v>
      </c>
      <c r="B38" s="10" t="s">
        <v>65</v>
      </c>
      <c r="C38" s="185"/>
      <c r="D38" s="141"/>
    </row>
    <row r="39" spans="1:4" s="1" customFormat="1" ht="16.5" thickBot="1" x14ac:dyDescent="0.3">
      <c r="A39" s="14" t="s">
        <v>66</v>
      </c>
      <c r="B39" s="9" t="s">
        <v>67</v>
      </c>
      <c r="C39" s="137"/>
      <c r="D39" s="145"/>
    </row>
    <row r="40" spans="1:4" s="1" customFormat="1" ht="16.5" thickBot="1" x14ac:dyDescent="0.3">
      <c r="A40" s="14" t="s">
        <v>68</v>
      </c>
      <c r="B40" s="9" t="s">
        <v>69</v>
      </c>
      <c r="C40" s="137">
        <v>435418.299</v>
      </c>
      <c r="D40" s="145">
        <v>436401.68699999998</v>
      </c>
    </row>
    <row r="41" spans="1:4" s="1" customFormat="1" ht="16.5" thickBot="1" x14ac:dyDescent="0.3">
      <c r="A41" s="14" t="s">
        <v>70</v>
      </c>
      <c r="B41" s="9" t="s">
        <v>71</v>
      </c>
      <c r="C41" s="137">
        <f>C42+C43</f>
        <v>0</v>
      </c>
      <c r="D41" s="145">
        <f>D42+D43</f>
        <v>0</v>
      </c>
    </row>
    <row r="42" spans="1:4" x14ac:dyDescent="0.25">
      <c r="A42" s="15" t="s">
        <v>72</v>
      </c>
      <c r="B42" s="8" t="s">
        <v>73</v>
      </c>
      <c r="C42" s="183"/>
      <c r="D42" s="140"/>
    </row>
    <row r="43" spans="1:4" ht="16.5" thickBot="1" x14ac:dyDescent="0.3">
      <c r="A43" s="17" t="s">
        <v>74</v>
      </c>
      <c r="B43" s="10" t="s">
        <v>75</v>
      </c>
      <c r="C43" s="185"/>
      <c r="D43" s="141"/>
    </row>
    <row r="44" spans="1:4" s="1" customFormat="1" ht="16.5" thickBot="1" x14ac:dyDescent="0.3">
      <c r="A44" s="14" t="s">
        <v>76</v>
      </c>
      <c r="B44" s="9" t="s">
        <v>77</v>
      </c>
      <c r="C44" s="137"/>
      <c r="D44" s="145"/>
    </row>
    <row r="45" spans="1:4" s="1" customFormat="1" ht="16.5" thickBot="1" x14ac:dyDescent="0.3">
      <c r="A45" s="14" t="s">
        <v>78</v>
      </c>
      <c r="B45" s="9" t="s">
        <v>79</v>
      </c>
      <c r="C45" s="137"/>
      <c r="D45" s="145"/>
    </row>
    <row r="46" spans="1:4" s="1" customFormat="1" ht="16.5" thickBot="1" x14ac:dyDescent="0.3">
      <c r="A46" s="14" t="s">
        <v>80</v>
      </c>
      <c r="B46" s="9" t="s">
        <v>81</v>
      </c>
      <c r="C46" s="137"/>
      <c r="D46" s="145"/>
    </row>
    <row r="47" spans="1:4" s="1" customFormat="1" ht="16.5" thickBot="1" x14ac:dyDescent="0.3">
      <c r="A47" s="14" t="s">
        <v>82</v>
      </c>
      <c r="B47" s="9" t="s">
        <v>83</v>
      </c>
      <c r="C47" s="137">
        <f>C35+C39+C40+C41+C44+C45+C46</f>
        <v>435418.299</v>
      </c>
      <c r="D47" s="145">
        <f>D35+D39+D40+D41+D44+D45+D46</f>
        <v>473645.13099999999</v>
      </c>
    </row>
    <row r="48" spans="1:4" s="1" customFormat="1" ht="32.25" thickBot="1" x14ac:dyDescent="0.3">
      <c r="A48" s="14" t="s">
        <v>84</v>
      </c>
      <c r="B48" s="188" t="s">
        <v>85</v>
      </c>
      <c r="C48" s="145">
        <f>C34+C47</f>
        <v>859846.299</v>
      </c>
      <c r="D48" s="145">
        <f>D34+D47</f>
        <v>924727.56</v>
      </c>
    </row>
    <row r="49" spans="1:4" x14ac:dyDescent="0.25">
      <c r="C49" s="162"/>
    </row>
    <row r="50" spans="1:4" x14ac:dyDescent="0.25">
      <c r="A50" s="345" t="s">
        <v>87</v>
      </c>
      <c r="B50" s="345"/>
      <c r="C50" s="345"/>
    </row>
    <row r="51" spans="1:4" ht="16.5" thickBot="1" x14ac:dyDescent="0.3">
      <c r="A51" s="18" t="s">
        <v>88</v>
      </c>
      <c r="B51" s="1"/>
      <c r="C51" s="138"/>
    </row>
    <row r="52" spans="1:4" ht="32.25" thickBot="1" x14ac:dyDescent="0.3">
      <c r="A52" s="24" t="s">
        <v>4</v>
      </c>
      <c r="B52" s="9" t="s">
        <v>89</v>
      </c>
      <c r="C52" s="170" t="s">
        <v>394</v>
      </c>
      <c r="D52" s="175" t="s">
        <v>395</v>
      </c>
    </row>
    <row r="53" spans="1:4" ht="16.5" thickBot="1" x14ac:dyDescent="0.3">
      <c r="A53" s="14" t="s">
        <v>3</v>
      </c>
      <c r="B53" s="9" t="s">
        <v>107</v>
      </c>
      <c r="C53" s="137">
        <f>C54+C55+C56+C57+C58+C64</f>
        <v>252924.299</v>
      </c>
      <c r="D53" s="145">
        <f>D54+D55+D56+D57+D58+D64</f>
        <v>286632.53399999999</v>
      </c>
    </row>
    <row r="54" spans="1:4" x14ac:dyDescent="0.25">
      <c r="A54" s="21" t="s">
        <v>6</v>
      </c>
      <c r="B54" s="8" t="s">
        <v>90</v>
      </c>
      <c r="C54" s="139">
        <v>73802</v>
      </c>
      <c r="D54" s="140">
        <v>99458.251999999993</v>
      </c>
    </row>
    <row r="55" spans="1:4" x14ac:dyDescent="0.25">
      <c r="A55" s="22" t="s">
        <v>7</v>
      </c>
      <c r="B55" s="4" t="s">
        <v>91</v>
      </c>
      <c r="C55" s="140">
        <v>15695</v>
      </c>
      <c r="D55" s="140">
        <v>20480.370999999999</v>
      </c>
    </row>
    <row r="56" spans="1:4" x14ac:dyDescent="0.25">
      <c r="A56" s="22" t="s">
        <v>8</v>
      </c>
      <c r="B56" s="4" t="s">
        <v>92</v>
      </c>
      <c r="C56" s="140">
        <v>128196</v>
      </c>
      <c r="D56" s="140">
        <v>132458.35</v>
      </c>
    </row>
    <row r="57" spans="1:4" x14ac:dyDescent="0.25">
      <c r="A57" s="22" t="s">
        <v>9</v>
      </c>
      <c r="B57" s="4" t="s">
        <v>93</v>
      </c>
      <c r="C57" s="140">
        <v>3400</v>
      </c>
      <c r="D57" s="140">
        <v>6340.05</v>
      </c>
    </row>
    <row r="58" spans="1:4" x14ac:dyDescent="0.25">
      <c r="A58" s="22" t="s">
        <v>10</v>
      </c>
      <c r="B58" s="4" t="s">
        <v>94</v>
      </c>
      <c r="C58" s="140">
        <f>SUM(C59:C63)</f>
        <v>5725</v>
      </c>
      <c r="D58" s="140">
        <f>SUM(D59:D63)</f>
        <v>6295</v>
      </c>
    </row>
    <row r="59" spans="1:4" x14ac:dyDescent="0.25">
      <c r="A59" s="22" t="s">
        <v>11</v>
      </c>
      <c r="B59" s="23" t="s">
        <v>379</v>
      </c>
      <c r="C59" s="140"/>
      <c r="D59" s="140"/>
    </row>
    <row r="60" spans="1:4" x14ac:dyDescent="0.25">
      <c r="A60" s="22" t="s">
        <v>96</v>
      </c>
      <c r="B60" s="4" t="s">
        <v>102</v>
      </c>
      <c r="C60" s="140"/>
      <c r="D60" s="140"/>
    </row>
    <row r="61" spans="1:4" x14ac:dyDescent="0.25">
      <c r="A61" s="22" t="s">
        <v>97</v>
      </c>
      <c r="B61" s="4" t="s">
        <v>137</v>
      </c>
      <c r="C61" s="140"/>
      <c r="D61" s="140"/>
    </row>
    <row r="62" spans="1:4" x14ac:dyDescent="0.25">
      <c r="A62" s="22" t="s">
        <v>98</v>
      </c>
      <c r="B62" s="4" t="s">
        <v>138</v>
      </c>
      <c r="C62" s="140">
        <v>1475</v>
      </c>
      <c r="D62" s="140">
        <v>1475</v>
      </c>
    </row>
    <row r="63" spans="1:4" x14ac:dyDescent="0.25">
      <c r="A63" s="22" t="s">
        <v>99</v>
      </c>
      <c r="B63" s="4" t="s">
        <v>139</v>
      </c>
      <c r="C63" s="140">
        <v>4250</v>
      </c>
      <c r="D63" s="140">
        <v>4820</v>
      </c>
    </row>
    <row r="64" spans="1:4" x14ac:dyDescent="0.25">
      <c r="A64" s="22" t="s">
        <v>100</v>
      </c>
      <c r="B64" s="4" t="s">
        <v>101</v>
      </c>
      <c r="C64" s="140">
        <f>SUM(C65:C66)</f>
        <v>26106.298999999999</v>
      </c>
      <c r="D64" s="140">
        <f>SUM(D65:D66)</f>
        <v>21600.510999999999</v>
      </c>
    </row>
    <row r="65" spans="1:4" x14ac:dyDescent="0.25">
      <c r="A65" s="22" t="s">
        <v>103</v>
      </c>
      <c r="B65" s="4" t="s">
        <v>104</v>
      </c>
      <c r="C65" s="140">
        <v>10951.066999999999</v>
      </c>
      <c r="D65" s="140">
        <v>2142.2800000000002</v>
      </c>
    </row>
    <row r="66" spans="1:4" ht="16.5" thickBot="1" x14ac:dyDescent="0.3">
      <c r="A66" s="25" t="s">
        <v>105</v>
      </c>
      <c r="B66" s="10" t="s">
        <v>106</v>
      </c>
      <c r="C66" s="141">
        <f>25260.232-10105</f>
        <v>15155.232</v>
      </c>
      <c r="D66" s="140">
        <v>19458.231</v>
      </c>
    </row>
    <row r="67" spans="1:4" ht="16.5" thickBot="1" x14ac:dyDescent="0.3">
      <c r="A67" s="14" t="s">
        <v>5</v>
      </c>
      <c r="B67" s="9" t="s">
        <v>120</v>
      </c>
      <c r="C67" s="137">
        <f>C68+C70+C72</f>
        <v>606922</v>
      </c>
      <c r="D67" s="145">
        <f>D68+D70+D72</f>
        <v>635015.11</v>
      </c>
    </row>
    <row r="68" spans="1:4" x14ac:dyDescent="0.25">
      <c r="A68" s="21" t="s">
        <v>12</v>
      </c>
      <c r="B68" s="8" t="s">
        <v>108</v>
      </c>
      <c r="C68" s="139">
        <v>606922</v>
      </c>
      <c r="D68" s="140">
        <v>635015.11</v>
      </c>
    </row>
    <row r="69" spans="1:4" x14ac:dyDescent="0.25">
      <c r="A69" s="22" t="s">
        <v>109</v>
      </c>
      <c r="B69" s="4" t="s">
        <v>110</v>
      </c>
      <c r="C69" s="140">
        <v>606222</v>
      </c>
      <c r="D69" s="140">
        <f>606222-10294.564</f>
        <v>595927.43599999999</v>
      </c>
    </row>
    <row r="70" spans="1:4" x14ac:dyDescent="0.25">
      <c r="A70" s="22" t="s">
        <v>14</v>
      </c>
      <c r="B70" s="4" t="s">
        <v>111</v>
      </c>
      <c r="C70" s="140"/>
      <c r="D70" s="140">
        <v>0</v>
      </c>
    </row>
    <row r="71" spans="1:4" x14ac:dyDescent="0.25">
      <c r="A71" s="22" t="s">
        <v>112</v>
      </c>
      <c r="B71" s="4" t="s">
        <v>113</v>
      </c>
      <c r="C71" s="140"/>
      <c r="D71" s="140"/>
    </row>
    <row r="72" spans="1:4" x14ac:dyDescent="0.25">
      <c r="A72" s="22" t="s">
        <v>114</v>
      </c>
      <c r="B72" s="4" t="s">
        <v>115</v>
      </c>
      <c r="C72" s="140"/>
      <c r="D72" s="140"/>
    </row>
    <row r="73" spans="1:4" x14ac:dyDescent="0.25">
      <c r="A73" s="22" t="s">
        <v>116</v>
      </c>
      <c r="B73" s="4" t="s">
        <v>117</v>
      </c>
      <c r="C73" s="140"/>
      <c r="D73" s="140"/>
    </row>
    <row r="74" spans="1:4" ht="16.5" thickBot="1" x14ac:dyDescent="0.3">
      <c r="A74" s="25" t="s">
        <v>118</v>
      </c>
      <c r="B74" s="10" t="s">
        <v>119</v>
      </c>
      <c r="C74" s="141"/>
      <c r="D74" s="140"/>
    </row>
    <row r="75" spans="1:4" ht="16.5" thickBot="1" x14ac:dyDescent="0.3">
      <c r="A75" s="14" t="s">
        <v>15</v>
      </c>
      <c r="B75" s="9" t="s">
        <v>121</v>
      </c>
      <c r="C75" s="137">
        <f>C53+C67</f>
        <v>859846.299</v>
      </c>
      <c r="D75" s="145">
        <f>D53+D67</f>
        <v>921647.64399999997</v>
      </c>
    </row>
    <row r="76" spans="1:4" ht="16.5" thickBot="1" x14ac:dyDescent="0.3">
      <c r="A76" s="14" t="s">
        <v>20</v>
      </c>
      <c r="B76" s="9" t="s">
        <v>125</v>
      </c>
      <c r="C76" s="137">
        <f>SUM(C77:C79)</f>
        <v>0</v>
      </c>
      <c r="D76" s="145">
        <f>SUM(D77:D79)</f>
        <v>0</v>
      </c>
    </row>
    <row r="77" spans="1:4" x14ac:dyDescent="0.25">
      <c r="A77" s="21" t="s">
        <v>22</v>
      </c>
      <c r="B77" s="8" t="s">
        <v>122</v>
      </c>
      <c r="C77" s="139"/>
      <c r="D77" s="139"/>
    </row>
    <row r="78" spans="1:4" x14ac:dyDescent="0.25">
      <c r="A78" s="22" t="s">
        <v>26</v>
      </c>
      <c r="B78" s="4" t="s">
        <v>123</v>
      </c>
      <c r="C78" s="140"/>
      <c r="D78" s="140"/>
    </row>
    <row r="79" spans="1:4" ht="16.5" thickBot="1" x14ac:dyDescent="0.3">
      <c r="A79" s="25" t="s">
        <v>27</v>
      </c>
      <c r="B79" s="10" t="s">
        <v>124</v>
      </c>
      <c r="C79" s="141"/>
      <c r="D79" s="141"/>
    </row>
    <row r="80" spans="1:4" ht="16.5" thickBot="1" x14ac:dyDescent="0.3">
      <c r="A80" s="28" t="s">
        <v>29</v>
      </c>
      <c r="B80" s="29" t="s">
        <v>126</v>
      </c>
      <c r="C80" s="187"/>
      <c r="D80" s="174"/>
    </row>
    <row r="81" spans="1:4" ht="16.5" thickBot="1" x14ac:dyDescent="0.3">
      <c r="A81" s="14" t="s">
        <v>51</v>
      </c>
      <c r="B81" s="9" t="s">
        <v>129</v>
      </c>
      <c r="C81" s="137">
        <f>C82</f>
        <v>0</v>
      </c>
      <c r="D81" s="145">
        <f>D82</f>
        <v>0</v>
      </c>
    </row>
    <row r="82" spans="1:4" ht="16.5" thickBot="1" x14ac:dyDescent="0.3">
      <c r="A82" s="26" t="s">
        <v>127</v>
      </c>
      <c r="B82" s="27" t="s">
        <v>128</v>
      </c>
      <c r="C82" s="142"/>
      <c r="D82" s="174"/>
    </row>
    <row r="83" spans="1:4" ht="16.5" thickBot="1" x14ac:dyDescent="0.3">
      <c r="A83" s="14" t="s">
        <v>53</v>
      </c>
      <c r="B83" s="9" t="s">
        <v>130</v>
      </c>
      <c r="C83" s="137"/>
      <c r="D83" s="174"/>
    </row>
    <row r="84" spans="1:4" ht="16.5" thickBot="1" x14ac:dyDescent="0.3">
      <c r="A84" s="14" t="s">
        <v>55</v>
      </c>
      <c r="B84" s="9" t="s">
        <v>131</v>
      </c>
      <c r="C84" s="137"/>
      <c r="D84" s="174"/>
    </row>
    <row r="85" spans="1:4" ht="16.5" thickBot="1" x14ac:dyDescent="0.3">
      <c r="A85" s="14" t="s">
        <v>132</v>
      </c>
      <c r="B85" s="9" t="s">
        <v>133</v>
      </c>
      <c r="C85" s="137"/>
      <c r="D85" s="174"/>
    </row>
    <row r="86" spans="1:4" ht="16.5" thickBot="1" x14ac:dyDescent="0.3">
      <c r="A86" s="14" t="s">
        <v>58</v>
      </c>
      <c r="B86" s="9" t="s">
        <v>134</v>
      </c>
      <c r="C86" s="137">
        <f>C76+C80+C81+C83+C84+C85</f>
        <v>0</v>
      </c>
      <c r="D86" s="145">
        <f>D76+D80+D81+D83+D84+D85</f>
        <v>0</v>
      </c>
    </row>
    <row r="87" spans="1:4" ht="16.5" thickBot="1" x14ac:dyDescent="0.3">
      <c r="A87" s="14" t="s">
        <v>66</v>
      </c>
      <c r="B87" s="9" t="s">
        <v>135</v>
      </c>
      <c r="C87" s="137">
        <f>C75+C86</f>
        <v>859846.299</v>
      </c>
      <c r="D87" s="145">
        <f>D75+D86</f>
        <v>921647.64399999997</v>
      </c>
    </row>
    <row r="89" spans="1:4" s="30" customFormat="1" ht="29.25" customHeight="1" x14ac:dyDescent="0.25">
      <c r="A89" s="339" t="s">
        <v>140</v>
      </c>
      <c r="B89" s="339"/>
      <c r="C89" s="339"/>
      <c r="D89" s="295"/>
    </row>
    <row r="90" spans="1:4" ht="16.5" thickBot="1" x14ac:dyDescent="0.3">
      <c r="A90" s="18" t="s">
        <v>141</v>
      </c>
      <c r="B90" s="1"/>
      <c r="C90" s="136"/>
    </row>
    <row r="91" spans="1:4" ht="32.25" thickBot="1" x14ac:dyDescent="0.3">
      <c r="A91" s="14" t="s">
        <v>3</v>
      </c>
      <c r="B91" s="11" t="s">
        <v>142</v>
      </c>
      <c r="C91" s="169">
        <f>C34-C75</f>
        <v>-435418.299</v>
      </c>
      <c r="D91" s="145">
        <f>D34-D75</f>
        <v>-470565.21499999997</v>
      </c>
    </row>
    <row r="92" spans="1:4" ht="32.25" thickBot="1" x14ac:dyDescent="0.3">
      <c r="A92" s="14" t="s">
        <v>5</v>
      </c>
      <c r="B92" s="11" t="s">
        <v>143</v>
      </c>
      <c r="C92" s="169">
        <f>C47-C86</f>
        <v>435418.299</v>
      </c>
      <c r="D92" s="145">
        <f>D47-D86</f>
        <v>473645.13099999999</v>
      </c>
    </row>
  </sheetData>
  <mergeCells count="5">
    <mergeCell ref="A50:C50"/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92"/>
  <sheetViews>
    <sheetView topLeftCell="A28" workbookViewId="0">
      <selection activeCell="G57" sqref="G57"/>
    </sheetView>
  </sheetViews>
  <sheetFormatPr defaultRowHeight="15.75" x14ac:dyDescent="0.25"/>
  <cols>
    <col min="1" max="1" width="6.85546875" style="12" customWidth="1"/>
    <col min="2" max="2" width="60.42578125" style="2" customWidth="1"/>
    <col min="3" max="3" width="17.5703125" style="143" customWidth="1"/>
    <col min="4" max="4" width="15.5703125" style="2" customWidth="1"/>
    <col min="5" max="16384" width="9.140625" style="2"/>
  </cols>
  <sheetData>
    <row r="1" spans="1:4" x14ac:dyDescent="0.25">
      <c r="A1" s="346" t="s">
        <v>400</v>
      </c>
      <c r="B1" s="346"/>
      <c r="C1" s="346"/>
      <c r="D1" s="346"/>
    </row>
    <row r="2" spans="1:4" s="1" customFormat="1" x14ac:dyDescent="0.25">
      <c r="A2" s="345" t="s">
        <v>0</v>
      </c>
      <c r="B2" s="345"/>
      <c r="C2" s="345"/>
      <c r="D2" s="345"/>
    </row>
    <row r="3" spans="1:4" s="1" customFormat="1" ht="40.5" customHeight="1" x14ac:dyDescent="0.25">
      <c r="A3" s="347" t="s">
        <v>401</v>
      </c>
      <c r="B3" s="347"/>
      <c r="C3" s="347"/>
      <c r="D3" s="347"/>
    </row>
    <row r="4" spans="1:4" s="1" customFormat="1" x14ac:dyDescent="0.25">
      <c r="A4" s="345" t="s">
        <v>1</v>
      </c>
      <c r="B4" s="345"/>
      <c r="C4" s="345"/>
      <c r="D4" s="345"/>
    </row>
    <row r="5" spans="1:4" s="1" customFormat="1" ht="16.5" thickBot="1" x14ac:dyDescent="0.3">
      <c r="A5" s="18" t="s">
        <v>86</v>
      </c>
      <c r="C5" s="136"/>
    </row>
    <row r="6" spans="1:4" s="3" customFormat="1" ht="16.5" thickBot="1" x14ac:dyDescent="0.3">
      <c r="A6" s="5">
        <v>1</v>
      </c>
      <c r="B6" s="6">
        <v>2</v>
      </c>
      <c r="C6" s="168">
        <v>3</v>
      </c>
      <c r="D6" s="171">
        <v>4</v>
      </c>
    </row>
    <row r="7" spans="1:4" s="1" customFormat="1" ht="32.25" thickBot="1" x14ac:dyDescent="0.3">
      <c r="A7" s="7" t="s">
        <v>4</v>
      </c>
      <c r="B7" s="6" t="s">
        <v>2</v>
      </c>
      <c r="C7" s="170" t="s">
        <v>394</v>
      </c>
      <c r="D7" s="173" t="s">
        <v>395</v>
      </c>
    </row>
    <row r="8" spans="1:4" s="1" customFormat="1" ht="16.5" thickBot="1" x14ac:dyDescent="0.3">
      <c r="A8" s="14" t="s">
        <v>3</v>
      </c>
      <c r="B8" s="9" t="s">
        <v>16</v>
      </c>
      <c r="C8" s="137">
        <f>SUM(C9:C14)</f>
        <v>7170</v>
      </c>
      <c r="D8" s="144">
        <f>SUM(D9:D14)</f>
        <v>7170</v>
      </c>
    </row>
    <row r="9" spans="1:4" x14ac:dyDescent="0.25">
      <c r="A9" s="15" t="s">
        <v>6</v>
      </c>
      <c r="B9" s="8" t="s">
        <v>30</v>
      </c>
      <c r="C9" s="183">
        <v>7170</v>
      </c>
      <c r="D9" s="139">
        <v>7170</v>
      </c>
    </row>
    <row r="10" spans="1:4" x14ac:dyDescent="0.25">
      <c r="A10" s="16" t="s">
        <v>7</v>
      </c>
      <c r="B10" s="4" t="s">
        <v>31</v>
      </c>
      <c r="C10" s="184"/>
      <c r="D10" s="140"/>
    </row>
    <row r="11" spans="1:4" x14ac:dyDescent="0.25">
      <c r="A11" s="16" t="s">
        <v>8</v>
      </c>
      <c r="B11" s="4" t="s">
        <v>32</v>
      </c>
      <c r="C11" s="184"/>
      <c r="D11" s="140"/>
    </row>
    <row r="12" spans="1:4" x14ac:dyDescent="0.25">
      <c r="A12" s="16" t="s">
        <v>9</v>
      </c>
      <c r="B12" s="4" t="s">
        <v>33</v>
      </c>
      <c r="C12" s="184"/>
      <c r="D12" s="140"/>
    </row>
    <row r="13" spans="1:4" x14ac:dyDescent="0.25">
      <c r="A13" s="16" t="s">
        <v>10</v>
      </c>
      <c r="B13" s="4" t="s">
        <v>34</v>
      </c>
      <c r="C13" s="184"/>
      <c r="D13" s="140"/>
    </row>
    <row r="14" spans="1:4" ht="16.5" thickBot="1" x14ac:dyDescent="0.3">
      <c r="A14" s="17" t="s">
        <v>11</v>
      </c>
      <c r="B14" s="10" t="s">
        <v>35</v>
      </c>
      <c r="C14" s="185"/>
      <c r="D14" s="141"/>
    </row>
    <row r="15" spans="1:4" s="1" customFormat="1" ht="16.5" thickBot="1" x14ac:dyDescent="0.3">
      <c r="A15" s="14" t="s">
        <v>5</v>
      </c>
      <c r="B15" s="9" t="s">
        <v>39</v>
      </c>
      <c r="C15" s="137">
        <f>SUM(C16:C18)</f>
        <v>0</v>
      </c>
      <c r="D15" s="144">
        <f>SUM(D16:D18)</f>
        <v>0</v>
      </c>
    </row>
    <row r="16" spans="1:4" x14ac:dyDescent="0.25">
      <c r="A16" s="15" t="s">
        <v>12</v>
      </c>
      <c r="B16" s="8" t="s">
        <v>36</v>
      </c>
      <c r="C16" s="183"/>
      <c r="D16" s="139"/>
    </row>
    <row r="17" spans="1:4" x14ac:dyDescent="0.25">
      <c r="A17" s="16" t="s">
        <v>13</v>
      </c>
      <c r="B17" s="4" t="s">
        <v>37</v>
      </c>
      <c r="C17" s="184"/>
      <c r="D17" s="140"/>
    </row>
    <row r="18" spans="1:4" ht="16.5" thickBot="1" x14ac:dyDescent="0.3">
      <c r="A18" s="17" t="s">
        <v>14</v>
      </c>
      <c r="B18" s="10" t="s">
        <v>38</v>
      </c>
      <c r="C18" s="185"/>
      <c r="D18" s="141"/>
    </row>
    <row r="19" spans="1:4" s="1" customFormat="1" ht="16.5" thickBot="1" x14ac:dyDescent="0.3">
      <c r="A19" s="14" t="s">
        <v>15</v>
      </c>
      <c r="B19" s="9" t="s">
        <v>43</v>
      </c>
      <c r="C19" s="137">
        <f>SUM(C20:C21)</f>
        <v>0</v>
      </c>
      <c r="D19" s="144">
        <f>SUM(D20:D21)</f>
        <v>0</v>
      </c>
    </row>
    <row r="20" spans="1:4" x14ac:dyDescent="0.25">
      <c r="A20" s="15" t="s">
        <v>17</v>
      </c>
      <c r="B20" s="8" t="s">
        <v>40</v>
      </c>
      <c r="C20" s="183"/>
      <c r="D20" s="139"/>
    </row>
    <row r="21" spans="1:4" x14ac:dyDescent="0.25">
      <c r="A21" s="16" t="s">
        <v>18</v>
      </c>
      <c r="B21" s="4" t="s">
        <v>41</v>
      </c>
      <c r="C21" s="184"/>
      <c r="D21" s="140"/>
    </row>
    <row r="22" spans="1:4" ht="16.5" thickBot="1" x14ac:dyDescent="0.3">
      <c r="A22" s="17" t="s">
        <v>19</v>
      </c>
      <c r="B22" s="10" t="s">
        <v>42</v>
      </c>
      <c r="C22" s="185"/>
      <c r="D22" s="141"/>
    </row>
    <row r="23" spans="1:4" s="1" customFormat="1" ht="16.5" thickBot="1" x14ac:dyDescent="0.3">
      <c r="A23" s="14" t="s">
        <v>20</v>
      </c>
      <c r="B23" s="9" t="s">
        <v>21</v>
      </c>
      <c r="C23" s="137">
        <f>C24+C27+C28+C29</f>
        <v>0</v>
      </c>
      <c r="D23" s="144">
        <f>D24+D27+D28+D29</f>
        <v>0</v>
      </c>
    </row>
    <row r="24" spans="1:4" x14ac:dyDescent="0.25">
      <c r="A24" s="15" t="s">
        <v>22</v>
      </c>
      <c r="B24" s="8" t="s">
        <v>44</v>
      </c>
      <c r="C24" s="183"/>
      <c r="D24" s="139"/>
    </row>
    <row r="25" spans="1:4" x14ac:dyDescent="0.25">
      <c r="A25" s="16" t="s">
        <v>23</v>
      </c>
      <c r="B25" s="4" t="s">
        <v>45</v>
      </c>
      <c r="C25" s="184"/>
      <c r="D25" s="140"/>
    </row>
    <row r="26" spans="1:4" x14ac:dyDescent="0.25">
      <c r="A26" s="16" t="s">
        <v>25</v>
      </c>
      <c r="B26" s="4" t="s">
        <v>46</v>
      </c>
      <c r="C26" s="184"/>
      <c r="D26" s="140"/>
    </row>
    <row r="27" spans="1:4" x14ac:dyDescent="0.25">
      <c r="A27" s="16" t="s">
        <v>26</v>
      </c>
      <c r="B27" s="4" t="s">
        <v>47</v>
      </c>
      <c r="C27" s="184"/>
      <c r="D27" s="140"/>
    </row>
    <row r="28" spans="1:4" x14ac:dyDescent="0.25">
      <c r="A28" s="16" t="s">
        <v>27</v>
      </c>
      <c r="B28" s="4" t="s">
        <v>48</v>
      </c>
      <c r="C28" s="184"/>
      <c r="D28" s="140"/>
    </row>
    <row r="29" spans="1:4" ht="16.5" thickBot="1" x14ac:dyDescent="0.3">
      <c r="A29" s="17" t="s">
        <v>28</v>
      </c>
      <c r="B29" s="10" t="s">
        <v>49</v>
      </c>
      <c r="C29" s="185"/>
      <c r="D29" s="141"/>
    </row>
    <row r="30" spans="1:4" s="1" customFormat="1" ht="16.5" thickBot="1" x14ac:dyDescent="0.3">
      <c r="A30" s="14" t="s">
        <v>29</v>
      </c>
      <c r="B30" s="9" t="s">
        <v>50</v>
      </c>
      <c r="C30" s="137"/>
      <c r="D30" s="144"/>
    </row>
    <row r="31" spans="1:4" s="1" customFormat="1" ht="16.5" thickBot="1" x14ac:dyDescent="0.3">
      <c r="A31" s="19" t="s">
        <v>51</v>
      </c>
      <c r="B31" s="20" t="s">
        <v>52</v>
      </c>
      <c r="C31" s="186"/>
      <c r="D31" s="178"/>
    </row>
    <row r="32" spans="1:4" s="1" customFormat="1" ht="16.5" thickBot="1" x14ac:dyDescent="0.3">
      <c r="A32" s="14" t="s">
        <v>53</v>
      </c>
      <c r="B32" s="9" t="s">
        <v>54</v>
      </c>
      <c r="C32" s="137"/>
      <c r="D32" s="144"/>
    </row>
    <row r="33" spans="1:4" s="1" customFormat="1" ht="16.5" thickBot="1" x14ac:dyDescent="0.3">
      <c r="A33" s="14" t="s">
        <v>55</v>
      </c>
      <c r="B33" s="9" t="s">
        <v>56</v>
      </c>
      <c r="C33" s="137"/>
      <c r="D33" s="144"/>
    </row>
    <row r="34" spans="1:4" s="1" customFormat="1" ht="16.5" thickBot="1" x14ac:dyDescent="0.3">
      <c r="A34" s="14" t="s">
        <v>57</v>
      </c>
      <c r="B34" s="9" t="s">
        <v>136</v>
      </c>
      <c r="C34" s="137">
        <f>C8+C15+C19+C23+C30+C31+C32+C33</f>
        <v>7170</v>
      </c>
      <c r="D34" s="144">
        <f>D8+D15+D19+D23+D30+D31+D32+D33</f>
        <v>7170</v>
      </c>
    </row>
    <row r="35" spans="1:4" s="1" customFormat="1" ht="16.5" thickBot="1" x14ac:dyDescent="0.3">
      <c r="A35" s="14" t="s">
        <v>58</v>
      </c>
      <c r="B35" s="9" t="s">
        <v>59</v>
      </c>
      <c r="C35" s="137">
        <f>SUM(C36:C38)</f>
        <v>0</v>
      </c>
      <c r="D35" s="144">
        <f>SUM(D36:D38)</f>
        <v>0</v>
      </c>
    </row>
    <row r="36" spans="1:4" x14ac:dyDescent="0.25">
      <c r="A36" s="15" t="s">
        <v>60</v>
      </c>
      <c r="B36" s="8" t="s">
        <v>61</v>
      </c>
      <c r="C36" s="183"/>
      <c r="D36" s="139"/>
    </row>
    <row r="37" spans="1:4" x14ac:dyDescent="0.25">
      <c r="A37" s="16" t="s">
        <v>62</v>
      </c>
      <c r="B37" s="4" t="s">
        <v>63</v>
      </c>
      <c r="C37" s="184"/>
      <c r="D37" s="140"/>
    </row>
    <row r="38" spans="1:4" ht="16.5" thickBot="1" x14ac:dyDescent="0.3">
      <c r="A38" s="17" t="s">
        <v>64</v>
      </c>
      <c r="B38" s="10" t="s">
        <v>65</v>
      </c>
      <c r="C38" s="185"/>
      <c r="D38" s="141"/>
    </row>
    <row r="39" spans="1:4" s="1" customFormat="1" ht="16.5" thickBot="1" x14ac:dyDescent="0.3">
      <c r="A39" s="14" t="s">
        <v>66</v>
      </c>
      <c r="B39" s="9" t="s">
        <v>67</v>
      </c>
      <c r="C39" s="137"/>
      <c r="D39" s="144"/>
    </row>
    <row r="40" spans="1:4" s="1" customFormat="1" ht="16.5" thickBot="1" x14ac:dyDescent="0.3">
      <c r="A40" s="14" t="s">
        <v>68</v>
      </c>
      <c r="B40" s="9" t="s">
        <v>69</v>
      </c>
      <c r="C40" s="137"/>
      <c r="D40" s="144"/>
    </row>
    <row r="41" spans="1:4" s="1" customFormat="1" ht="16.5" thickBot="1" x14ac:dyDescent="0.3">
      <c r="A41" s="14" t="s">
        <v>70</v>
      </c>
      <c r="B41" s="9" t="s">
        <v>71</v>
      </c>
      <c r="C41" s="137">
        <f>C42+C43</f>
        <v>0</v>
      </c>
      <c r="D41" s="144">
        <f>D42+D43</f>
        <v>0</v>
      </c>
    </row>
    <row r="42" spans="1:4" x14ac:dyDescent="0.25">
      <c r="A42" s="15" t="s">
        <v>72</v>
      </c>
      <c r="B42" s="8" t="s">
        <v>73</v>
      </c>
      <c r="C42" s="183"/>
      <c r="D42" s="139"/>
    </row>
    <row r="43" spans="1:4" ht="16.5" thickBot="1" x14ac:dyDescent="0.3">
      <c r="A43" s="17" t="s">
        <v>74</v>
      </c>
      <c r="B43" s="10" t="s">
        <v>75</v>
      </c>
      <c r="C43" s="185"/>
      <c r="D43" s="141"/>
    </row>
    <row r="44" spans="1:4" s="1" customFormat="1" ht="16.5" thickBot="1" x14ac:dyDescent="0.3">
      <c r="A44" s="14" t="s">
        <v>76</v>
      </c>
      <c r="B44" s="9" t="s">
        <v>77</v>
      </c>
      <c r="C44" s="137"/>
      <c r="D44" s="144"/>
    </row>
    <row r="45" spans="1:4" s="1" customFormat="1" ht="16.5" thickBot="1" x14ac:dyDescent="0.3">
      <c r="A45" s="14" t="s">
        <v>78</v>
      </c>
      <c r="B45" s="9" t="s">
        <v>79</v>
      </c>
      <c r="C45" s="137"/>
      <c r="D45" s="144"/>
    </row>
    <row r="46" spans="1:4" s="1" customFormat="1" ht="16.5" thickBot="1" x14ac:dyDescent="0.3">
      <c r="A46" s="14" t="s">
        <v>80</v>
      </c>
      <c r="B46" s="9" t="s">
        <v>81</v>
      </c>
      <c r="C46" s="137"/>
      <c r="D46" s="144"/>
    </row>
    <row r="47" spans="1:4" s="1" customFormat="1" ht="16.5" thickBot="1" x14ac:dyDescent="0.3">
      <c r="A47" s="14" t="s">
        <v>82</v>
      </c>
      <c r="B47" s="9" t="s">
        <v>83</v>
      </c>
      <c r="C47" s="137">
        <f>C35+C39+C40+C41+C44+C45+C46</f>
        <v>0</v>
      </c>
      <c r="D47" s="144">
        <f>D35+D39+D40+D41+D44+D45+D46</f>
        <v>0</v>
      </c>
    </row>
    <row r="48" spans="1:4" s="1" customFormat="1" ht="32.25" thickBot="1" x14ac:dyDescent="0.3">
      <c r="A48" s="14" t="s">
        <v>84</v>
      </c>
      <c r="B48" s="188" t="s">
        <v>85</v>
      </c>
      <c r="C48" s="145">
        <f>C34+C47</f>
        <v>7170</v>
      </c>
      <c r="D48" s="144">
        <f>D34+D47</f>
        <v>7170</v>
      </c>
    </row>
    <row r="49" spans="1:4" x14ac:dyDescent="0.25">
      <c r="C49" s="162"/>
    </row>
    <row r="50" spans="1:4" x14ac:dyDescent="0.25">
      <c r="A50" s="345" t="s">
        <v>87</v>
      </c>
      <c r="B50" s="345"/>
      <c r="C50" s="345"/>
    </row>
    <row r="51" spans="1:4" ht="16.5" thickBot="1" x14ac:dyDescent="0.3">
      <c r="A51" s="18" t="s">
        <v>88</v>
      </c>
      <c r="B51" s="1"/>
      <c r="C51" s="138"/>
    </row>
    <row r="52" spans="1:4" ht="32.25" thickBot="1" x14ac:dyDescent="0.3">
      <c r="A52" s="24" t="s">
        <v>4</v>
      </c>
      <c r="B52" s="9" t="s">
        <v>89</v>
      </c>
      <c r="C52" s="170" t="s">
        <v>394</v>
      </c>
      <c r="D52" s="173" t="s">
        <v>395</v>
      </c>
    </row>
    <row r="53" spans="1:4" ht="16.5" thickBot="1" x14ac:dyDescent="0.3">
      <c r="A53" s="14" t="s">
        <v>3</v>
      </c>
      <c r="B53" s="9" t="s">
        <v>107</v>
      </c>
      <c r="C53" s="137">
        <f>C54+C55+C56+C57+C58+C64</f>
        <v>7170</v>
      </c>
      <c r="D53" s="144">
        <f>D54+D55+D56+D57+D58+D64</f>
        <v>7170</v>
      </c>
    </row>
    <row r="54" spans="1:4" x14ac:dyDescent="0.25">
      <c r="A54" s="21" t="s">
        <v>6</v>
      </c>
      <c r="B54" s="8" t="s">
        <v>90</v>
      </c>
      <c r="C54" s="139">
        <v>6000</v>
      </c>
      <c r="D54" s="139">
        <v>6000</v>
      </c>
    </row>
    <row r="55" spans="1:4" x14ac:dyDescent="0.25">
      <c r="A55" s="22" t="s">
        <v>7</v>
      </c>
      <c r="B55" s="4" t="s">
        <v>91</v>
      </c>
      <c r="C55" s="140">
        <v>1170</v>
      </c>
      <c r="D55" s="140">
        <v>1170</v>
      </c>
    </row>
    <row r="56" spans="1:4" x14ac:dyDescent="0.25">
      <c r="A56" s="22" t="s">
        <v>8</v>
      </c>
      <c r="B56" s="4" t="s">
        <v>92</v>
      </c>
      <c r="C56" s="140"/>
      <c r="D56" s="140"/>
    </row>
    <row r="57" spans="1:4" x14ac:dyDescent="0.25">
      <c r="A57" s="22" t="s">
        <v>9</v>
      </c>
      <c r="B57" s="4" t="s">
        <v>93</v>
      </c>
      <c r="C57" s="140"/>
      <c r="D57" s="140"/>
    </row>
    <row r="58" spans="1:4" x14ac:dyDescent="0.25">
      <c r="A58" s="22" t="s">
        <v>10</v>
      </c>
      <c r="B58" s="4" t="s">
        <v>94</v>
      </c>
      <c r="C58" s="140"/>
      <c r="D58" s="140"/>
    </row>
    <row r="59" spans="1:4" x14ac:dyDescent="0.25">
      <c r="A59" s="22" t="s">
        <v>11</v>
      </c>
      <c r="B59" s="23" t="s">
        <v>95</v>
      </c>
      <c r="C59" s="140"/>
      <c r="D59" s="140"/>
    </row>
    <row r="60" spans="1:4" x14ac:dyDescent="0.25">
      <c r="A60" s="22" t="s">
        <v>96</v>
      </c>
      <c r="B60" s="4" t="s">
        <v>102</v>
      </c>
      <c r="C60" s="140"/>
      <c r="D60" s="140"/>
    </row>
    <row r="61" spans="1:4" x14ac:dyDescent="0.25">
      <c r="A61" s="22" t="s">
        <v>97</v>
      </c>
      <c r="B61" s="4" t="s">
        <v>137</v>
      </c>
      <c r="C61" s="140"/>
      <c r="D61" s="140"/>
    </row>
    <row r="62" spans="1:4" x14ac:dyDescent="0.25">
      <c r="A62" s="22" t="s">
        <v>98</v>
      </c>
      <c r="B62" s="4" t="s">
        <v>138</v>
      </c>
      <c r="C62" s="140"/>
      <c r="D62" s="140"/>
    </row>
    <row r="63" spans="1:4" x14ac:dyDescent="0.25">
      <c r="A63" s="22" t="s">
        <v>99</v>
      </c>
      <c r="B63" s="4" t="s">
        <v>139</v>
      </c>
      <c r="C63" s="140"/>
      <c r="D63" s="140"/>
    </row>
    <row r="64" spans="1:4" x14ac:dyDescent="0.25">
      <c r="A64" s="22" t="s">
        <v>100</v>
      </c>
      <c r="B64" s="4" t="s">
        <v>101</v>
      </c>
      <c r="C64" s="140"/>
      <c r="D64" s="140"/>
    </row>
    <row r="65" spans="1:4" x14ac:dyDescent="0.25">
      <c r="A65" s="22" t="s">
        <v>103</v>
      </c>
      <c r="B65" s="4" t="s">
        <v>104</v>
      </c>
      <c r="C65" s="140"/>
      <c r="D65" s="140"/>
    </row>
    <row r="66" spans="1:4" ht="16.5" thickBot="1" x14ac:dyDescent="0.3">
      <c r="A66" s="25" t="s">
        <v>105</v>
      </c>
      <c r="B66" s="10" t="s">
        <v>106</v>
      </c>
      <c r="C66" s="141"/>
      <c r="D66" s="141"/>
    </row>
    <row r="67" spans="1:4" ht="16.5" thickBot="1" x14ac:dyDescent="0.3">
      <c r="A67" s="14" t="s">
        <v>5</v>
      </c>
      <c r="B67" s="9" t="s">
        <v>120</v>
      </c>
      <c r="C67" s="137">
        <f>C68+C70+C72</f>
        <v>0</v>
      </c>
      <c r="D67" s="144">
        <f>D68+D70+D72</f>
        <v>0</v>
      </c>
    </row>
    <row r="68" spans="1:4" x14ac:dyDescent="0.25">
      <c r="A68" s="21" t="s">
        <v>12</v>
      </c>
      <c r="B68" s="8" t="s">
        <v>108</v>
      </c>
      <c r="C68" s="139"/>
      <c r="D68" s="139"/>
    </row>
    <row r="69" spans="1:4" x14ac:dyDescent="0.25">
      <c r="A69" s="22" t="s">
        <v>109</v>
      </c>
      <c r="B69" s="4" t="s">
        <v>110</v>
      </c>
      <c r="C69" s="140"/>
      <c r="D69" s="140"/>
    </row>
    <row r="70" spans="1:4" x14ac:dyDescent="0.25">
      <c r="A70" s="22" t="s">
        <v>14</v>
      </c>
      <c r="B70" s="4" t="s">
        <v>111</v>
      </c>
      <c r="C70" s="140"/>
      <c r="D70" s="140"/>
    </row>
    <row r="71" spans="1:4" x14ac:dyDescent="0.25">
      <c r="A71" s="22" t="s">
        <v>112</v>
      </c>
      <c r="B71" s="4" t="s">
        <v>113</v>
      </c>
      <c r="C71" s="140"/>
      <c r="D71" s="140"/>
    </row>
    <row r="72" spans="1:4" x14ac:dyDescent="0.25">
      <c r="A72" s="22" t="s">
        <v>114</v>
      </c>
      <c r="B72" s="4" t="s">
        <v>115</v>
      </c>
      <c r="C72" s="140"/>
      <c r="D72" s="140"/>
    </row>
    <row r="73" spans="1:4" x14ac:dyDescent="0.25">
      <c r="A73" s="22" t="s">
        <v>116</v>
      </c>
      <c r="B73" s="4" t="s">
        <v>117</v>
      </c>
      <c r="C73" s="140"/>
      <c r="D73" s="140"/>
    </row>
    <row r="74" spans="1:4" ht="16.5" thickBot="1" x14ac:dyDescent="0.3">
      <c r="A74" s="25" t="s">
        <v>118</v>
      </c>
      <c r="B74" s="10" t="s">
        <v>119</v>
      </c>
      <c r="C74" s="141"/>
      <c r="D74" s="141"/>
    </row>
    <row r="75" spans="1:4" ht="16.5" thickBot="1" x14ac:dyDescent="0.3">
      <c r="A75" s="14" t="s">
        <v>15</v>
      </c>
      <c r="B75" s="9" t="s">
        <v>121</v>
      </c>
      <c r="C75" s="137">
        <f>C53+C67</f>
        <v>7170</v>
      </c>
      <c r="D75" s="144">
        <f>D53+D67</f>
        <v>7170</v>
      </c>
    </row>
    <row r="76" spans="1:4" ht="16.5" thickBot="1" x14ac:dyDescent="0.3">
      <c r="A76" s="14" t="s">
        <v>20</v>
      </c>
      <c r="B76" s="9" t="s">
        <v>125</v>
      </c>
      <c r="C76" s="137">
        <f>SUM(C77:C79)</f>
        <v>0</v>
      </c>
      <c r="D76" s="144">
        <f>SUM(D77:D79)</f>
        <v>0</v>
      </c>
    </row>
    <row r="77" spans="1:4" x14ac:dyDescent="0.25">
      <c r="A77" s="21" t="s">
        <v>22</v>
      </c>
      <c r="B77" s="8" t="s">
        <v>122</v>
      </c>
      <c r="C77" s="139"/>
      <c r="D77" s="139"/>
    </row>
    <row r="78" spans="1:4" x14ac:dyDescent="0.25">
      <c r="A78" s="22" t="s">
        <v>26</v>
      </c>
      <c r="B78" s="4" t="s">
        <v>123</v>
      </c>
      <c r="C78" s="140"/>
      <c r="D78" s="140"/>
    </row>
    <row r="79" spans="1:4" ht="16.5" thickBot="1" x14ac:dyDescent="0.3">
      <c r="A79" s="25" t="s">
        <v>27</v>
      </c>
      <c r="B79" s="10" t="s">
        <v>124</v>
      </c>
      <c r="C79" s="141"/>
      <c r="D79" s="141"/>
    </row>
    <row r="80" spans="1:4" ht="16.5" thickBot="1" x14ac:dyDescent="0.3">
      <c r="A80" s="28" t="s">
        <v>29</v>
      </c>
      <c r="B80" s="29" t="s">
        <v>126</v>
      </c>
      <c r="C80" s="187"/>
      <c r="D80" s="177"/>
    </row>
    <row r="81" spans="1:4" ht="16.5" thickBot="1" x14ac:dyDescent="0.3">
      <c r="A81" s="14" t="s">
        <v>51</v>
      </c>
      <c r="B81" s="9" t="s">
        <v>129</v>
      </c>
      <c r="C81" s="137">
        <f>C82</f>
        <v>0</v>
      </c>
      <c r="D81" s="144">
        <f>D82</f>
        <v>0</v>
      </c>
    </row>
    <row r="82" spans="1:4" ht="16.5" thickBot="1" x14ac:dyDescent="0.3">
      <c r="A82" s="26" t="s">
        <v>127</v>
      </c>
      <c r="B82" s="27" t="s">
        <v>128</v>
      </c>
      <c r="C82" s="142"/>
      <c r="D82" s="142"/>
    </row>
    <row r="83" spans="1:4" ht="16.5" thickBot="1" x14ac:dyDescent="0.3">
      <c r="A83" s="14" t="s">
        <v>53</v>
      </c>
      <c r="B83" s="9" t="s">
        <v>130</v>
      </c>
      <c r="C83" s="137"/>
      <c r="D83" s="144"/>
    </row>
    <row r="84" spans="1:4" ht="16.5" thickBot="1" x14ac:dyDescent="0.3">
      <c r="A84" s="14" t="s">
        <v>55</v>
      </c>
      <c r="B84" s="9" t="s">
        <v>131</v>
      </c>
      <c r="C84" s="137"/>
      <c r="D84" s="144"/>
    </row>
    <row r="85" spans="1:4" ht="16.5" thickBot="1" x14ac:dyDescent="0.3">
      <c r="A85" s="14" t="s">
        <v>132</v>
      </c>
      <c r="B85" s="9" t="s">
        <v>133</v>
      </c>
      <c r="C85" s="137"/>
      <c r="D85" s="144"/>
    </row>
    <row r="86" spans="1:4" ht="16.5" thickBot="1" x14ac:dyDescent="0.3">
      <c r="A86" s="14" t="s">
        <v>58</v>
      </c>
      <c r="B86" s="9" t="s">
        <v>134</v>
      </c>
      <c r="C86" s="137">
        <f>C76+C80+C81+C83+C84+C85</f>
        <v>0</v>
      </c>
      <c r="D86" s="144">
        <f>D76+D80+D81+D83+D84+D85</f>
        <v>0</v>
      </c>
    </row>
    <row r="87" spans="1:4" ht="16.5" thickBot="1" x14ac:dyDescent="0.3">
      <c r="A87" s="14" t="s">
        <v>66</v>
      </c>
      <c r="B87" s="9" t="s">
        <v>135</v>
      </c>
      <c r="C87" s="137">
        <f>C75+C86</f>
        <v>7170</v>
      </c>
      <c r="D87" s="144">
        <f>D75+D86</f>
        <v>7170</v>
      </c>
    </row>
    <row r="89" spans="1:4" s="30" customFormat="1" ht="29.25" customHeight="1" x14ac:dyDescent="0.25">
      <c r="A89" s="348" t="s">
        <v>140</v>
      </c>
      <c r="B89" s="348"/>
      <c r="C89" s="348"/>
    </row>
    <row r="90" spans="1:4" ht="16.5" thickBot="1" x14ac:dyDescent="0.3">
      <c r="A90" s="18" t="s">
        <v>141</v>
      </c>
      <c r="B90" s="1"/>
      <c r="C90" s="136"/>
    </row>
    <row r="91" spans="1:4" ht="32.25" thickBot="1" x14ac:dyDescent="0.3">
      <c r="A91" s="14" t="s">
        <v>3</v>
      </c>
      <c r="B91" s="11" t="s">
        <v>142</v>
      </c>
      <c r="C91" s="169">
        <f>C34-C75</f>
        <v>0</v>
      </c>
      <c r="D91" s="145">
        <f>D34-D75</f>
        <v>0</v>
      </c>
    </row>
    <row r="92" spans="1:4" ht="32.25" thickBot="1" x14ac:dyDescent="0.3">
      <c r="A92" s="14" t="s">
        <v>5</v>
      </c>
      <c r="B92" s="11" t="s">
        <v>143</v>
      </c>
      <c r="C92" s="169">
        <f>C47-C86</f>
        <v>0</v>
      </c>
      <c r="D92" s="145">
        <f>D47-D86</f>
        <v>0</v>
      </c>
    </row>
  </sheetData>
  <mergeCells count="6">
    <mergeCell ref="A89:C89"/>
    <mergeCell ref="A50:C50"/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2"/>
  <sheetViews>
    <sheetView workbookViewId="0">
      <selection activeCell="C34" sqref="C34"/>
    </sheetView>
  </sheetViews>
  <sheetFormatPr defaultRowHeight="15.75" x14ac:dyDescent="0.25"/>
  <cols>
    <col min="1" max="1" width="5.7109375" style="13" customWidth="1"/>
    <col min="2" max="2" width="57.5703125" style="2" bestFit="1" customWidth="1"/>
    <col min="3" max="4" width="14.7109375" style="107" customWidth="1"/>
    <col min="5" max="5" width="53.85546875" style="2" bestFit="1" customWidth="1"/>
    <col min="6" max="6" width="14.7109375" style="107" customWidth="1"/>
    <col min="7" max="7" width="14.5703125" style="2" customWidth="1"/>
    <col min="8" max="16384" width="9.140625" style="2"/>
  </cols>
  <sheetData>
    <row r="1" spans="1:7" x14ac:dyDescent="0.25">
      <c r="B1" s="349" t="s">
        <v>402</v>
      </c>
      <c r="C1" s="349"/>
      <c r="D1" s="349"/>
      <c r="E1" s="349"/>
      <c r="F1" s="349"/>
      <c r="G1" s="349"/>
    </row>
    <row r="2" spans="1:7" ht="54.75" customHeight="1" x14ac:dyDescent="0.25">
      <c r="A2" s="350" t="s">
        <v>144</v>
      </c>
      <c r="B2" s="350"/>
      <c r="C2" s="350"/>
      <c r="D2" s="350"/>
      <c r="E2" s="350"/>
      <c r="F2" s="350"/>
      <c r="G2" s="350"/>
    </row>
    <row r="3" spans="1:7" x14ac:dyDescent="0.25">
      <c r="A3" s="351" t="s">
        <v>145</v>
      </c>
      <c r="B3" s="351"/>
      <c r="C3" s="351"/>
      <c r="D3" s="351"/>
      <c r="E3" s="351"/>
      <c r="F3" s="351"/>
      <c r="G3" s="351"/>
    </row>
    <row r="4" spans="1:7" ht="16.5" thickBot="1" x14ac:dyDescent="0.3">
      <c r="A4" s="349" t="s">
        <v>350</v>
      </c>
      <c r="B4" s="349"/>
      <c r="C4" s="349"/>
      <c r="D4" s="349"/>
      <c r="E4" s="349"/>
      <c r="F4" s="349"/>
    </row>
    <row r="5" spans="1:7" s="30" customFormat="1" ht="32.25" thickBot="1" x14ac:dyDescent="0.3">
      <c r="A5" s="40" t="s">
        <v>4</v>
      </c>
      <c r="B5" s="6" t="s">
        <v>146</v>
      </c>
      <c r="C5" s="170" t="s">
        <v>394</v>
      </c>
      <c r="D5" s="173" t="s">
        <v>395</v>
      </c>
      <c r="E5" s="6" t="s">
        <v>147</v>
      </c>
      <c r="F5" s="170" t="s">
        <v>394</v>
      </c>
      <c r="G5" s="173" t="s">
        <v>395</v>
      </c>
    </row>
    <row r="6" spans="1:7" s="13" customFormat="1" ht="16.5" thickBot="1" x14ac:dyDescent="0.3">
      <c r="A6" s="34" t="s">
        <v>148</v>
      </c>
      <c r="B6" s="35" t="s">
        <v>170</v>
      </c>
      <c r="C6" s="108" t="s">
        <v>149</v>
      </c>
      <c r="D6" s="108" t="s">
        <v>150</v>
      </c>
      <c r="E6" s="35" t="s">
        <v>151</v>
      </c>
      <c r="F6" s="179" t="s">
        <v>189</v>
      </c>
      <c r="G6" s="180" t="s">
        <v>198</v>
      </c>
    </row>
    <row r="7" spans="1:7" x14ac:dyDescent="0.25">
      <c r="A7" s="33" t="s">
        <v>3</v>
      </c>
      <c r="B7" s="8" t="s">
        <v>152</v>
      </c>
      <c r="C7" s="139">
        <v>299157.57900000003</v>
      </c>
      <c r="D7" s="139">
        <v>318018.89199999999</v>
      </c>
      <c r="E7" s="8" t="s">
        <v>90</v>
      </c>
      <c r="F7" s="139">
        <v>351579</v>
      </c>
      <c r="G7" s="139">
        <v>388550.25400000002</v>
      </c>
    </row>
    <row r="8" spans="1:7" x14ac:dyDescent="0.25">
      <c r="A8" s="32" t="s">
        <v>5</v>
      </c>
      <c r="B8" s="4" t="s">
        <v>153</v>
      </c>
      <c r="C8" s="140">
        <v>148870</v>
      </c>
      <c r="D8" s="140">
        <v>179896.33300000001</v>
      </c>
      <c r="E8" s="4" t="s">
        <v>154</v>
      </c>
      <c r="F8" s="140">
        <v>62543.8</v>
      </c>
      <c r="G8" s="140">
        <v>69255.051999999996</v>
      </c>
    </row>
    <row r="9" spans="1:7" x14ac:dyDescent="0.25">
      <c r="A9" s="32" t="s">
        <v>15</v>
      </c>
      <c r="B9" s="4" t="s">
        <v>156</v>
      </c>
      <c r="C9" s="140">
        <v>42772</v>
      </c>
      <c r="D9" s="140">
        <v>56182.720000000001</v>
      </c>
      <c r="E9" s="4" t="s">
        <v>92</v>
      </c>
      <c r="F9" s="140">
        <v>257135.7</v>
      </c>
      <c r="G9" s="140">
        <v>262466.73800000001</v>
      </c>
    </row>
    <row r="10" spans="1:7" x14ac:dyDescent="0.25">
      <c r="A10" s="32" t="s">
        <v>20</v>
      </c>
      <c r="B10" s="4" t="s">
        <v>157</v>
      </c>
      <c r="C10" s="140">
        <v>102821</v>
      </c>
      <c r="D10" s="140">
        <v>102821</v>
      </c>
      <c r="E10" s="4" t="s">
        <v>93</v>
      </c>
      <c r="F10" s="140">
        <v>5400</v>
      </c>
      <c r="G10" s="140">
        <v>9047.83</v>
      </c>
    </row>
    <row r="11" spans="1:7" x14ac:dyDescent="0.25">
      <c r="A11" s="32" t="s">
        <v>29</v>
      </c>
      <c r="B11" s="4" t="s">
        <v>158</v>
      </c>
      <c r="C11" s="140">
        <v>61573.3</v>
      </c>
      <c r="D11" s="140">
        <v>61573.3</v>
      </c>
      <c r="E11" s="4" t="s">
        <v>94</v>
      </c>
      <c r="F11" s="140">
        <v>34490.1</v>
      </c>
      <c r="G11" s="140">
        <v>37580.1</v>
      </c>
    </row>
    <row r="12" spans="1:7" x14ac:dyDescent="0.25">
      <c r="A12" s="32" t="s">
        <v>51</v>
      </c>
      <c r="B12" s="4" t="s">
        <v>159</v>
      </c>
      <c r="C12" s="140">
        <v>210</v>
      </c>
      <c r="D12" s="140">
        <v>210</v>
      </c>
      <c r="E12" s="4" t="s">
        <v>101</v>
      </c>
      <c r="F12" s="140">
        <v>22277.298999999999</v>
      </c>
      <c r="G12" s="140">
        <v>17256.892</v>
      </c>
    </row>
    <row r="13" spans="1:7" ht="16.5" thickBot="1" x14ac:dyDescent="0.3">
      <c r="A13" s="36" t="s">
        <v>53</v>
      </c>
      <c r="B13" s="10" t="s">
        <v>160</v>
      </c>
      <c r="C13" s="141"/>
      <c r="D13" s="141"/>
      <c r="E13" s="10"/>
      <c r="F13" s="141"/>
      <c r="G13" s="140"/>
    </row>
    <row r="14" spans="1:7" ht="16.5" thickBot="1" x14ac:dyDescent="0.3">
      <c r="A14" s="34" t="s">
        <v>55</v>
      </c>
      <c r="B14" s="9" t="s">
        <v>161</v>
      </c>
      <c r="C14" s="144">
        <f>C7+C8+C10+C11+C12</f>
        <v>612631.87900000007</v>
      </c>
      <c r="D14" s="144">
        <f>D7+D8+D10+D11+D12</f>
        <v>662519.52500000002</v>
      </c>
      <c r="E14" s="9" t="s">
        <v>162</v>
      </c>
      <c r="F14" s="137">
        <f>SUM(F7:F13)</f>
        <v>733425.89899999998</v>
      </c>
      <c r="G14" s="145">
        <f>SUM(G7:G12)</f>
        <v>784156.86599999992</v>
      </c>
    </row>
    <row r="15" spans="1:7" x14ac:dyDescent="0.25">
      <c r="A15" s="160" t="s">
        <v>57</v>
      </c>
      <c r="B15" s="103" t="s">
        <v>165</v>
      </c>
      <c r="C15" s="139">
        <f>C16</f>
        <v>131721.753</v>
      </c>
      <c r="D15" s="161">
        <f>D16</f>
        <v>132565.07399999999</v>
      </c>
      <c r="E15" s="8" t="s">
        <v>169</v>
      </c>
      <c r="F15" s="139"/>
      <c r="G15" s="140"/>
    </row>
    <row r="16" spans="1:7" x14ac:dyDescent="0.25">
      <c r="A16" s="32" t="s">
        <v>58</v>
      </c>
      <c r="B16" s="4" t="s">
        <v>163</v>
      </c>
      <c r="C16" s="140">
        <v>131721.753</v>
      </c>
      <c r="D16" s="140">
        <v>132565.07399999999</v>
      </c>
      <c r="E16" s="4" t="s">
        <v>128</v>
      </c>
      <c r="F16" s="140">
        <v>10927.733</v>
      </c>
      <c r="G16" s="140">
        <v>10927.733</v>
      </c>
    </row>
    <row r="17" spans="1:7" x14ac:dyDescent="0.25">
      <c r="A17" s="32" t="s">
        <v>66</v>
      </c>
      <c r="B17" s="4" t="s">
        <v>166</v>
      </c>
      <c r="C17" s="140"/>
      <c r="D17" s="140"/>
      <c r="E17" s="4"/>
      <c r="F17" s="140"/>
      <c r="G17" s="140"/>
    </row>
    <row r="18" spans="1:7" ht="16.5" thickBot="1" x14ac:dyDescent="0.3">
      <c r="A18" s="36" t="s">
        <v>68</v>
      </c>
      <c r="B18" s="10" t="s">
        <v>164</v>
      </c>
      <c r="C18" s="141"/>
      <c r="D18" s="141"/>
      <c r="E18" s="10"/>
      <c r="F18" s="141"/>
      <c r="G18" s="140"/>
    </row>
    <row r="19" spans="1:7" ht="16.5" thickBot="1" x14ac:dyDescent="0.3">
      <c r="A19" s="34" t="s">
        <v>70</v>
      </c>
      <c r="B19" s="9" t="s">
        <v>167</v>
      </c>
      <c r="C19" s="144">
        <f>C15+C17</f>
        <v>131721.753</v>
      </c>
      <c r="D19" s="144">
        <f>D15+D17</f>
        <v>132565.07399999999</v>
      </c>
      <c r="E19" s="9" t="s">
        <v>326</v>
      </c>
      <c r="F19" s="137">
        <f>SUM(F15:F18)</f>
        <v>10927.733</v>
      </c>
      <c r="G19" s="145">
        <f>SUM(G15:G18)</f>
        <v>10927.733</v>
      </c>
    </row>
    <row r="20" spans="1:7" ht="16.5" thickBot="1" x14ac:dyDescent="0.3">
      <c r="A20" s="37" t="s">
        <v>76</v>
      </c>
      <c r="B20" s="38" t="s">
        <v>168</v>
      </c>
      <c r="C20" s="144">
        <f>C14+C19</f>
        <v>744353.6320000001</v>
      </c>
      <c r="D20" s="144">
        <f>D14+D19</f>
        <v>795084.59900000005</v>
      </c>
      <c r="E20" s="9" t="s">
        <v>171</v>
      </c>
      <c r="F20" s="137">
        <f>F14+F19</f>
        <v>744353.63199999998</v>
      </c>
      <c r="G20" s="145">
        <f>G14+G19</f>
        <v>795084.59899999993</v>
      </c>
    </row>
    <row r="21" spans="1:7" ht="16.5" thickBot="1" x14ac:dyDescent="0.3">
      <c r="A21" s="39" t="s">
        <v>78</v>
      </c>
      <c r="B21" s="38" t="s">
        <v>173</v>
      </c>
      <c r="C21" s="144">
        <f>F14-C14</f>
        <v>120794.0199999999</v>
      </c>
      <c r="D21" s="144">
        <f>G14-D14</f>
        <v>121637.3409999999</v>
      </c>
      <c r="E21" s="9" t="s">
        <v>172</v>
      </c>
      <c r="F21" s="137">
        <v>0</v>
      </c>
      <c r="G21" s="145">
        <v>0</v>
      </c>
    </row>
    <row r="22" spans="1:7" ht="16.5" thickBot="1" x14ac:dyDescent="0.3">
      <c r="A22" s="39" t="s">
        <v>155</v>
      </c>
      <c r="B22" s="38" t="s">
        <v>174</v>
      </c>
      <c r="C22" s="144">
        <f>C20-F20</f>
        <v>0</v>
      </c>
      <c r="D22" s="144">
        <f>D20-G20</f>
        <v>0</v>
      </c>
      <c r="E22" s="9" t="s">
        <v>175</v>
      </c>
      <c r="F22" s="137">
        <v>0</v>
      </c>
      <c r="G22" s="145">
        <v>0</v>
      </c>
    </row>
  </sheetData>
  <mergeCells count="4">
    <mergeCell ref="A4:F4"/>
    <mergeCell ref="B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2"/>
  <sheetViews>
    <sheetView workbookViewId="0">
      <selection activeCell="E29" sqref="E29"/>
    </sheetView>
  </sheetViews>
  <sheetFormatPr defaultRowHeight="15.75" x14ac:dyDescent="0.25"/>
  <cols>
    <col min="1" max="1" width="5.7109375" style="13" customWidth="1"/>
    <col min="2" max="2" width="60.28515625" style="2" bestFit="1" customWidth="1"/>
    <col min="3" max="4" width="14.7109375" style="107" customWidth="1"/>
    <col min="5" max="5" width="62.5703125" style="2" bestFit="1" customWidth="1"/>
    <col min="6" max="6" width="14.7109375" style="107" customWidth="1"/>
    <col min="7" max="7" width="12.5703125" style="2" customWidth="1"/>
    <col min="8" max="16384" width="9.140625" style="2"/>
  </cols>
  <sheetData>
    <row r="1" spans="1:7" x14ac:dyDescent="0.25">
      <c r="B1" s="349" t="s">
        <v>403</v>
      </c>
      <c r="C1" s="349"/>
      <c r="D1" s="349"/>
      <c r="E1" s="349"/>
      <c r="F1" s="349"/>
      <c r="G1" s="349"/>
    </row>
    <row r="2" spans="1:7" ht="60" customHeight="1" x14ac:dyDescent="0.25">
      <c r="A2" s="350" t="s">
        <v>176</v>
      </c>
      <c r="B2" s="350"/>
      <c r="C2" s="350"/>
      <c r="D2" s="350"/>
      <c r="E2" s="350"/>
      <c r="F2" s="350"/>
      <c r="G2" s="350"/>
    </row>
    <row r="3" spans="1:7" x14ac:dyDescent="0.25">
      <c r="A3" s="351" t="s">
        <v>145</v>
      </c>
      <c r="B3" s="351"/>
      <c r="C3" s="351"/>
      <c r="D3" s="351"/>
      <c r="E3" s="351"/>
      <c r="F3" s="351"/>
      <c r="G3" s="351"/>
    </row>
    <row r="4" spans="1:7" ht="16.5" thickBot="1" x14ac:dyDescent="0.3">
      <c r="A4" s="352" t="s">
        <v>350</v>
      </c>
      <c r="B4" s="352"/>
      <c r="C4" s="352"/>
      <c r="D4" s="352"/>
      <c r="E4" s="352"/>
      <c r="F4" s="352"/>
      <c r="G4" s="352"/>
    </row>
    <row r="5" spans="1:7" s="30" customFormat="1" ht="32.25" thickBot="1" x14ac:dyDescent="0.3">
      <c r="A5" s="40" t="s">
        <v>4</v>
      </c>
      <c r="B5" s="6" t="s">
        <v>146</v>
      </c>
      <c r="C5" s="170" t="s">
        <v>394</v>
      </c>
      <c r="D5" s="173" t="s">
        <v>395</v>
      </c>
      <c r="E5" s="6" t="s">
        <v>147</v>
      </c>
      <c r="F5" s="170" t="s">
        <v>394</v>
      </c>
      <c r="G5" s="173" t="s">
        <v>395</v>
      </c>
    </row>
    <row r="6" spans="1:7" s="13" customFormat="1" ht="16.5" thickBot="1" x14ac:dyDescent="0.3">
      <c r="A6" s="269" t="s">
        <v>148</v>
      </c>
      <c r="B6" s="180" t="s">
        <v>170</v>
      </c>
      <c r="C6" s="270" t="s">
        <v>149</v>
      </c>
      <c r="D6" s="267" t="s">
        <v>150</v>
      </c>
      <c r="E6" s="268" t="s">
        <v>151</v>
      </c>
      <c r="F6" s="267" t="s">
        <v>189</v>
      </c>
      <c r="G6" s="180" t="s">
        <v>198</v>
      </c>
    </row>
    <row r="7" spans="1:7" x14ac:dyDescent="0.25">
      <c r="A7" s="33" t="s">
        <v>3</v>
      </c>
      <c r="B7" s="8" t="s">
        <v>177</v>
      </c>
      <c r="C7" s="139">
        <v>307909</v>
      </c>
      <c r="D7" s="139">
        <v>298129.05499999999</v>
      </c>
      <c r="E7" s="8" t="s">
        <v>108</v>
      </c>
      <c r="F7" s="139">
        <v>622689</v>
      </c>
      <c r="G7" s="139">
        <v>651208.11</v>
      </c>
    </row>
    <row r="8" spans="1:7" x14ac:dyDescent="0.25">
      <c r="A8" s="32" t="s">
        <v>5</v>
      </c>
      <c r="B8" s="4" t="s">
        <v>178</v>
      </c>
      <c r="C8" s="140">
        <v>307909</v>
      </c>
      <c r="D8" s="140">
        <v>298129.05499999999</v>
      </c>
      <c r="E8" s="4" t="s">
        <v>519</v>
      </c>
      <c r="F8" s="140">
        <v>606222</v>
      </c>
      <c r="G8" s="140">
        <v>596435.43599999999</v>
      </c>
    </row>
    <row r="9" spans="1:7" x14ac:dyDescent="0.25">
      <c r="A9" s="32" t="s">
        <v>15</v>
      </c>
      <c r="B9" s="4" t="s">
        <v>52</v>
      </c>
      <c r="C9" s="140"/>
      <c r="D9" s="140"/>
      <c r="E9" s="4" t="s">
        <v>111</v>
      </c>
      <c r="F9" s="140">
        <v>22643</v>
      </c>
      <c r="G9" s="140">
        <v>26870.351999999999</v>
      </c>
    </row>
    <row r="10" spans="1:7" x14ac:dyDescent="0.25">
      <c r="A10" s="32" t="s">
        <v>20</v>
      </c>
      <c r="B10" s="4" t="s">
        <v>179</v>
      </c>
      <c r="C10" s="140"/>
      <c r="D10" s="140"/>
      <c r="E10" s="4" t="s">
        <v>182</v>
      </c>
      <c r="F10" s="140"/>
      <c r="G10" s="140"/>
    </row>
    <row r="11" spans="1:7" x14ac:dyDescent="0.25">
      <c r="A11" s="32" t="s">
        <v>29</v>
      </c>
      <c r="B11" s="4" t="s">
        <v>180</v>
      </c>
      <c r="C11" s="140"/>
      <c r="D11" s="140"/>
      <c r="E11" s="4" t="s">
        <v>115</v>
      </c>
      <c r="F11" s="140"/>
      <c r="G11" s="140"/>
    </row>
    <row r="12" spans="1:7" x14ac:dyDescent="0.25">
      <c r="A12" s="32" t="s">
        <v>51</v>
      </c>
      <c r="B12" s="4" t="s">
        <v>181</v>
      </c>
      <c r="C12" s="140"/>
      <c r="D12" s="140"/>
      <c r="E12" s="4" t="s">
        <v>520</v>
      </c>
      <c r="F12" s="140">
        <v>3829</v>
      </c>
      <c r="G12" s="140">
        <v>4343.6189999999997</v>
      </c>
    </row>
    <row r="13" spans="1:7" ht="16.5" thickBot="1" x14ac:dyDescent="0.3">
      <c r="A13" s="36" t="s">
        <v>53</v>
      </c>
      <c r="B13" s="10" t="s">
        <v>436</v>
      </c>
      <c r="C13" s="141">
        <v>15000</v>
      </c>
      <c r="D13" s="141">
        <v>15000</v>
      </c>
      <c r="E13" s="10"/>
      <c r="F13" s="141"/>
      <c r="G13" s="140"/>
    </row>
    <row r="14" spans="1:7" ht="16.5" thickBot="1" x14ac:dyDescent="0.3">
      <c r="A14" s="34" t="s">
        <v>55</v>
      </c>
      <c r="B14" s="9" t="s">
        <v>183</v>
      </c>
      <c r="C14" s="144">
        <f>C7+C9+C12+C13</f>
        <v>322909</v>
      </c>
      <c r="D14" s="144">
        <f>D7+D9+D12+D13</f>
        <v>313129.05499999999</v>
      </c>
      <c r="E14" s="9" t="s">
        <v>325</v>
      </c>
      <c r="F14" s="137">
        <f>F7+F9+F11+F12</f>
        <v>649161</v>
      </c>
      <c r="G14" s="145">
        <f>G7+G9+G11+G12</f>
        <v>682422.08099999989</v>
      </c>
    </row>
    <row r="15" spans="1:7" x14ac:dyDescent="0.25">
      <c r="A15" s="160" t="s">
        <v>57</v>
      </c>
      <c r="B15" s="103" t="s">
        <v>165</v>
      </c>
      <c r="C15" s="139">
        <f>C16</f>
        <v>326252</v>
      </c>
      <c r="D15" s="161">
        <f>D16</f>
        <v>332049.58199999999</v>
      </c>
      <c r="E15" s="8" t="s">
        <v>185</v>
      </c>
      <c r="F15" s="139"/>
      <c r="G15" s="140"/>
    </row>
    <row r="16" spans="1:7" x14ac:dyDescent="0.25">
      <c r="A16" s="32" t="s">
        <v>58</v>
      </c>
      <c r="B16" s="4" t="s">
        <v>163</v>
      </c>
      <c r="C16" s="140">
        <v>326252</v>
      </c>
      <c r="D16" s="140">
        <v>332049.58199999999</v>
      </c>
      <c r="E16" s="4"/>
      <c r="F16" s="140"/>
      <c r="G16" s="140"/>
    </row>
    <row r="17" spans="1:7" x14ac:dyDescent="0.25">
      <c r="A17" s="87" t="s">
        <v>66</v>
      </c>
      <c r="B17" s="85" t="s">
        <v>166</v>
      </c>
      <c r="C17" s="146"/>
      <c r="D17" s="146">
        <f>D18</f>
        <v>37243.444000000003</v>
      </c>
      <c r="E17" s="4"/>
      <c r="F17" s="140"/>
      <c r="G17" s="140"/>
    </row>
    <row r="18" spans="1:7" ht="16.5" thickBot="1" x14ac:dyDescent="0.3">
      <c r="A18" s="36" t="s">
        <v>68</v>
      </c>
      <c r="B18" s="10" t="s">
        <v>184</v>
      </c>
      <c r="C18" s="141"/>
      <c r="D18" s="141">
        <v>37243.444000000003</v>
      </c>
      <c r="E18" s="10"/>
      <c r="F18" s="141"/>
      <c r="G18" s="141"/>
    </row>
    <row r="19" spans="1:7" ht="16.5" thickBot="1" x14ac:dyDescent="0.3">
      <c r="A19" s="34" t="s">
        <v>70</v>
      </c>
      <c r="B19" s="9" t="s">
        <v>186</v>
      </c>
      <c r="C19" s="144">
        <f>C15+C17</f>
        <v>326252</v>
      </c>
      <c r="D19" s="144">
        <f>D15+D17</f>
        <v>369293.02600000001</v>
      </c>
      <c r="E19" s="9" t="s">
        <v>187</v>
      </c>
      <c r="F19" s="137"/>
      <c r="G19" s="174"/>
    </row>
    <row r="20" spans="1:7" ht="16.5" thickBot="1" x14ac:dyDescent="0.3">
      <c r="A20" s="37" t="s">
        <v>76</v>
      </c>
      <c r="B20" s="38" t="s">
        <v>168</v>
      </c>
      <c r="C20" s="144">
        <f>C14+C19</f>
        <v>649161</v>
      </c>
      <c r="D20" s="144">
        <f>D14+D19</f>
        <v>682422.08100000001</v>
      </c>
      <c r="E20" s="9" t="s">
        <v>171</v>
      </c>
      <c r="F20" s="137">
        <f>F14+F19</f>
        <v>649161</v>
      </c>
      <c r="G20" s="145">
        <f>G14+G19</f>
        <v>682422.08099999989</v>
      </c>
    </row>
    <row r="21" spans="1:7" ht="16.5" thickBot="1" x14ac:dyDescent="0.3">
      <c r="A21" s="39" t="s">
        <v>78</v>
      </c>
      <c r="B21" s="38" t="s">
        <v>173</v>
      </c>
      <c r="C21" s="144">
        <f>F14-C14</f>
        <v>326252</v>
      </c>
      <c r="D21" s="144">
        <f>G14-D14</f>
        <v>369293.0259999999</v>
      </c>
      <c r="E21" s="9" t="s">
        <v>172</v>
      </c>
      <c r="F21" s="137">
        <v>0</v>
      </c>
      <c r="G21" s="145">
        <v>0</v>
      </c>
    </row>
    <row r="22" spans="1:7" ht="16.5" thickBot="1" x14ac:dyDescent="0.3">
      <c r="A22" s="39" t="s">
        <v>155</v>
      </c>
      <c r="B22" s="38" t="s">
        <v>174</v>
      </c>
      <c r="C22" s="144">
        <f>C20-F20</f>
        <v>0</v>
      </c>
      <c r="D22" s="144">
        <f>D20-G20</f>
        <v>0</v>
      </c>
      <c r="E22" s="9" t="s">
        <v>175</v>
      </c>
      <c r="F22" s="137">
        <v>0</v>
      </c>
      <c r="G22" s="145">
        <f>G20-D20</f>
        <v>0</v>
      </c>
    </row>
  </sheetData>
  <mergeCells count="4">
    <mergeCell ref="B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92"/>
  <sheetViews>
    <sheetView showWhiteSpace="0" view="pageBreakPreview" zoomScaleNormal="100" zoomScaleSheetLayoutView="100" workbookViewId="0">
      <pane xSplit="4" ySplit="4" topLeftCell="F59" activePane="bottomRight" state="frozen"/>
      <selection pane="topRight" activeCell="D1" sqref="D1"/>
      <selection pane="bottomLeft" activeCell="A6" sqref="A6"/>
      <selection pane="bottomRight" activeCell="R85" activeCellId="4" sqref="F85 H85 J85 N85 R85"/>
    </sheetView>
  </sheetViews>
  <sheetFormatPr defaultRowHeight="15" x14ac:dyDescent="0.25"/>
  <cols>
    <col min="1" max="1" width="9.140625" style="53"/>
    <col min="2" max="2" width="8.28515625" style="53" customWidth="1"/>
    <col min="3" max="3" width="14" style="53" customWidth="1"/>
    <col min="4" max="4" width="63.5703125" style="53" customWidth="1"/>
    <col min="5" max="6" width="11.28515625" style="109" bestFit="1" customWidth="1"/>
    <col min="7" max="10" width="12.42578125" style="109" bestFit="1" customWidth="1"/>
    <col min="11" max="12" width="12.42578125" style="109" customWidth="1"/>
    <col min="13" max="14" width="12.42578125" style="109" bestFit="1" customWidth="1"/>
    <col min="15" max="15" width="13.42578125" style="109" customWidth="1"/>
    <col min="16" max="16" width="14" style="109" customWidth="1"/>
    <col min="17" max="17" width="11" style="109" bestFit="1" customWidth="1"/>
    <col min="18" max="18" width="8.42578125" style="109" bestFit="1" customWidth="1"/>
    <col min="19" max="19" width="12.42578125" style="109" bestFit="1" customWidth="1"/>
    <col min="20" max="20" width="13.42578125" style="109" bestFit="1" customWidth="1"/>
    <col min="21" max="21" width="14.5703125" style="109" customWidth="1"/>
    <col min="22" max="22" width="11.28515625" style="53" hidden="1" customWidth="1"/>
    <col min="23" max="23" width="14" style="53" customWidth="1"/>
    <col min="24" max="16384" width="9.140625" style="53"/>
  </cols>
  <sheetData>
    <row r="1" spans="1:27" x14ac:dyDescent="0.25">
      <c r="B1" s="135"/>
      <c r="Q1" s="356" t="s">
        <v>404</v>
      </c>
      <c r="R1" s="356"/>
      <c r="S1" s="356"/>
      <c r="T1" s="356"/>
      <c r="U1" s="356"/>
    </row>
    <row r="2" spans="1:27" ht="45.75" customHeight="1" x14ac:dyDescent="0.25">
      <c r="A2" s="89">
        <v>1</v>
      </c>
      <c r="B2" s="51">
        <v>1</v>
      </c>
      <c r="C2" s="51"/>
      <c r="D2" s="357" t="s">
        <v>405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</row>
    <row r="3" spans="1:27" ht="62.25" customHeight="1" x14ac:dyDescent="0.25">
      <c r="A3" s="89">
        <v>2</v>
      </c>
      <c r="B3" s="51">
        <v>2</v>
      </c>
      <c r="C3" s="90" t="s">
        <v>202</v>
      </c>
      <c r="D3" s="91" t="s">
        <v>203</v>
      </c>
      <c r="E3" s="358" t="s">
        <v>158</v>
      </c>
      <c r="F3" s="359"/>
      <c r="G3" s="358" t="s">
        <v>157</v>
      </c>
      <c r="H3" s="359"/>
      <c r="I3" s="358" t="s">
        <v>204</v>
      </c>
      <c r="J3" s="359"/>
      <c r="K3" s="358" t="s">
        <v>436</v>
      </c>
      <c r="L3" s="359"/>
      <c r="M3" s="358" t="s">
        <v>205</v>
      </c>
      <c r="N3" s="359"/>
      <c r="O3" s="358" t="s">
        <v>206</v>
      </c>
      <c r="P3" s="359"/>
      <c r="Q3" s="358" t="s">
        <v>207</v>
      </c>
      <c r="R3" s="359"/>
      <c r="S3" s="358" t="s">
        <v>509</v>
      </c>
      <c r="T3" s="359"/>
      <c r="U3" s="360" t="s">
        <v>208</v>
      </c>
      <c r="V3" s="360"/>
      <c r="W3" s="360"/>
    </row>
    <row r="4" spans="1:27" s="99" customFormat="1" ht="32.25" customHeight="1" x14ac:dyDescent="0.25">
      <c r="A4" s="102">
        <v>3</v>
      </c>
      <c r="B4" s="95">
        <v>3</v>
      </c>
      <c r="C4" s="95"/>
      <c r="D4" s="91" t="s">
        <v>188</v>
      </c>
      <c r="E4" s="279" t="s">
        <v>406</v>
      </c>
      <c r="F4" s="64" t="s">
        <v>407</v>
      </c>
      <c r="G4" s="279" t="s">
        <v>406</v>
      </c>
      <c r="H4" s="64" t="s">
        <v>407</v>
      </c>
      <c r="I4" s="279" t="s">
        <v>406</v>
      </c>
      <c r="J4" s="64" t="s">
        <v>407</v>
      </c>
      <c r="K4" s="279" t="s">
        <v>406</v>
      </c>
      <c r="L4" s="64" t="s">
        <v>407</v>
      </c>
      <c r="M4" s="279" t="s">
        <v>406</v>
      </c>
      <c r="N4" s="64" t="s">
        <v>407</v>
      </c>
      <c r="O4" s="279" t="s">
        <v>408</v>
      </c>
      <c r="P4" s="64" t="s">
        <v>407</v>
      </c>
      <c r="Q4" s="279" t="s">
        <v>406</v>
      </c>
      <c r="R4" s="64" t="s">
        <v>407</v>
      </c>
      <c r="S4" s="279" t="s">
        <v>406</v>
      </c>
      <c r="T4" s="64" t="s">
        <v>407</v>
      </c>
      <c r="U4" s="164" t="s">
        <v>406</v>
      </c>
      <c r="V4" s="92" t="s">
        <v>209</v>
      </c>
      <c r="W4" s="165" t="s">
        <v>407</v>
      </c>
      <c r="X4" s="166"/>
      <c r="Y4" s="166"/>
      <c r="Z4" s="166"/>
      <c r="AA4" s="166"/>
    </row>
    <row r="5" spans="1:27" x14ac:dyDescent="0.25">
      <c r="A5" s="89">
        <v>4</v>
      </c>
      <c r="B5" s="51">
        <v>104</v>
      </c>
      <c r="C5" s="51" t="s">
        <v>210</v>
      </c>
      <c r="D5" s="52" t="s">
        <v>381</v>
      </c>
      <c r="E5" s="110"/>
      <c r="F5" s="110"/>
      <c r="G5" s="111">
        <v>90983</v>
      </c>
      <c r="H5" s="111">
        <v>90983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2">
        <f>E5+G5+I5+M5+O5+Q5+S5+K5</f>
        <v>90983</v>
      </c>
      <c r="V5" s="112">
        <f t="shared" ref="V5" si="0">F5+H5+J5+N5+P5+R5+T5+L5</f>
        <v>90983</v>
      </c>
      <c r="W5" s="112">
        <f>F5+H5+J5+N5+P5+R5+T5+L5</f>
        <v>90983</v>
      </c>
      <c r="X5" s="93"/>
      <c r="Y5" s="93"/>
      <c r="Z5" s="93"/>
      <c r="AA5" s="93"/>
    </row>
    <row r="6" spans="1:27" x14ac:dyDescent="0.25">
      <c r="A6" s="89">
        <v>5</v>
      </c>
      <c r="B6" s="51">
        <v>105</v>
      </c>
      <c r="C6" s="51" t="s">
        <v>210</v>
      </c>
      <c r="D6" s="52" t="s">
        <v>382</v>
      </c>
      <c r="E6" s="110"/>
      <c r="F6" s="110"/>
      <c r="G6" s="111">
        <v>44</v>
      </c>
      <c r="H6" s="111">
        <v>44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2">
        <f t="shared" ref="U6:U62" si="1">E6+G6+I6+M6+O6+Q6+S6+K6</f>
        <v>44</v>
      </c>
      <c r="V6" s="112">
        <f t="shared" ref="V6:V47" si="2">F6+H6+J6+N6+P6+R6+T6</f>
        <v>44</v>
      </c>
      <c r="W6" s="112">
        <f t="shared" ref="W6:W62" si="3">F6+H6+J6+N6+P6+R6+T6+L6</f>
        <v>44</v>
      </c>
    </row>
    <row r="7" spans="1:27" x14ac:dyDescent="0.25">
      <c r="A7" s="89">
        <v>6</v>
      </c>
      <c r="B7" s="51">
        <v>106</v>
      </c>
      <c r="C7" s="51" t="s">
        <v>210</v>
      </c>
      <c r="D7" s="52" t="s">
        <v>211</v>
      </c>
      <c r="E7" s="110"/>
      <c r="F7" s="110"/>
      <c r="G7" s="111">
        <v>10605</v>
      </c>
      <c r="H7" s="111">
        <v>10605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2">
        <f t="shared" si="1"/>
        <v>10605</v>
      </c>
      <c r="V7" s="112">
        <f t="shared" si="2"/>
        <v>10605</v>
      </c>
      <c r="W7" s="112">
        <f t="shared" si="3"/>
        <v>10605</v>
      </c>
    </row>
    <row r="8" spans="1:27" x14ac:dyDescent="0.25">
      <c r="A8" s="89">
        <v>7</v>
      </c>
      <c r="B8" s="51">
        <v>107</v>
      </c>
      <c r="C8" s="51" t="s">
        <v>210</v>
      </c>
      <c r="D8" s="52" t="s">
        <v>212</v>
      </c>
      <c r="E8" s="110"/>
      <c r="F8" s="110"/>
      <c r="G8" s="111">
        <v>695</v>
      </c>
      <c r="H8" s="111">
        <v>695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2">
        <f t="shared" si="1"/>
        <v>695</v>
      </c>
      <c r="V8" s="112">
        <f t="shared" si="2"/>
        <v>695</v>
      </c>
      <c r="W8" s="112">
        <f t="shared" si="3"/>
        <v>695</v>
      </c>
    </row>
    <row r="9" spans="1:27" x14ac:dyDescent="0.25">
      <c r="A9" s="89">
        <v>8</v>
      </c>
      <c r="B9" s="51">
        <v>108</v>
      </c>
      <c r="C9" s="51" t="s">
        <v>210</v>
      </c>
      <c r="D9" s="52" t="s">
        <v>49</v>
      </c>
      <c r="E9" s="111"/>
      <c r="F9" s="111"/>
      <c r="G9" s="110">
        <v>195</v>
      </c>
      <c r="H9" s="110">
        <v>195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2">
        <f t="shared" si="1"/>
        <v>195</v>
      </c>
      <c r="V9" s="112">
        <f t="shared" si="2"/>
        <v>195</v>
      </c>
      <c r="W9" s="112">
        <f t="shared" si="3"/>
        <v>195</v>
      </c>
    </row>
    <row r="10" spans="1:27" x14ac:dyDescent="0.25">
      <c r="A10" s="89">
        <v>9</v>
      </c>
      <c r="B10" s="51">
        <v>109</v>
      </c>
      <c r="C10" s="51" t="s">
        <v>210</v>
      </c>
      <c r="D10" s="52" t="s">
        <v>383</v>
      </c>
      <c r="E10" s="110"/>
      <c r="F10" s="110"/>
      <c r="G10" s="111">
        <v>160</v>
      </c>
      <c r="H10" s="111">
        <v>160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2">
        <f t="shared" si="1"/>
        <v>160</v>
      </c>
      <c r="V10" s="112">
        <f t="shared" si="2"/>
        <v>160</v>
      </c>
      <c r="W10" s="112">
        <f t="shared" si="3"/>
        <v>160</v>
      </c>
    </row>
    <row r="11" spans="1:27" x14ac:dyDescent="0.25">
      <c r="A11" s="89">
        <v>10</v>
      </c>
      <c r="B11" s="51"/>
      <c r="C11" s="51" t="s">
        <v>210</v>
      </c>
      <c r="D11" s="52" t="s">
        <v>384</v>
      </c>
      <c r="E11" s="110"/>
      <c r="F11" s="110"/>
      <c r="G11" s="111">
        <v>134</v>
      </c>
      <c r="H11" s="111">
        <v>134</v>
      </c>
      <c r="I11" s="110"/>
      <c r="J11" s="110"/>
      <c r="K11" s="110"/>
      <c r="L11" s="110"/>
      <c r="M11" s="110"/>
      <c r="N11" s="110"/>
      <c r="O11" s="111"/>
      <c r="P11" s="111"/>
      <c r="Q11" s="111"/>
      <c r="R11" s="111"/>
      <c r="S11" s="110"/>
      <c r="T11" s="110"/>
      <c r="U11" s="112">
        <f t="shared" si="1"/>
        <v>134</v>
      </c>
      <c r="V11" s="112">
        <f t="shared" si="2"/>
        <v>134</v>
      </c>
      <c r="W11" s="112">
        <f t="shared" si="3"/>
        <v>134</v>
      </c>
    </row>
    <row r="12" spans="1:27" x14ac:dyDescent="0.25">
      <c r="A12" s="89">
        <v>11</v>
      </c>
      <c r="B12" s="51">
        <v>113</v>
      </c>
      <c r="C12" s="51" t="s">
        <v>210</v>
      </c>
      <c r="D12" s="52" t="s">
        <v>213</v>
      </c>
      <c r="E12" s="110"/>
      <c r="F12" s="110"/>
      <c r="G12" s="111">
        <v>5</v>
      </c>
      <c r="H12" s="111">
        <v>5</v>
      </c>
      <c r="I12" s="110"/>
      <c r="J12" s="110"/>
      <c r="K12" s="110"/>
      <c r="L12" s="110"/>
      <c r="M12" s="110"/>
      <c r="N12" s="110"/>
      <c r="O12" s="111"/>
      <c r="P12" s="111"/>
      <c r="Q12" s="111"/>
      <c r="R12" s="111"/>
      <c r="S12" s="110"/>
      <c r="T12" s="110"/>
      <c r="U12" s="112">
        <f t="shared" si="1"/>
        <v>5</v>
      </c>
      <c r="V12" s="112">
        <f t="shared" si="2"/>
        <v>5</v>
      </c>
      <c r="W12" s="112">
        <f t="shared" si="3"/>
        <v>5</v>
      </c>
    </row>
    <row r="13" spans="1:27" x14ac:dyDescent="0.25">
      <c r="A13" s="89">
        <v>12</v>
      </c>
      <c r="B13" s="353" t="s">
        <v>385</v>
      </c>
      <c r="C13" s="51" t="s">
        <v>210</v>
      </c>
      <c r="D13" s="52" t="s">
        <v>215</v>
      </c>
      <c r="E13" s="110"/>
      <c r="F13" s="110"/>
      <c r="G13" s="110"/>
      <c r="H13" s="110"/>
      <c r="I13" s="111">
        <v>72684.600000000006</v>
      </c>
      <c r="J13" s="111">
        <v>72684.600000000006</v>
      </c>
      <c r="K13" s="111"/>
      <c r="L13" s="111"/>
      <c r="M13" s="110"/>
      <c r="N13" s="110"/>
      <c r="O13" s="110"/>
      <c r="P13" s="110"/>
      <c r="Q13" s="110"/>
      <c r="R13" s="110"/>
      <c r="S13" s="110"/>
      <c r="T13" s="110"/>
      <c r="U13" s="112">
        <f t="shared" si="1"/>
        <v>72684.600000000006</v>
      </c>
      <c r="V13" s="112">
        <f t="shared" si="2"/>
        <v>72684.600000000006</v>
      </c>
      <c r="W13" s="112">
        <f t="shared" si="3"/>
        <v>72684.600000000006</v>
      </c>
    </row>
    <row r="14" spans="1:27" x14ac:dyDescent="0.25">
      <c r="A14" s="89">
        <v>13</v>
      </c>
      <c r="B14" s="354"/>
      <c r="C14" s="51" t="s">
        <v>210</v>
      </c>
      <c r="D14" s="52" t="s">
        <v>216</v>
      </c>
      <c r="E14" s="110"/>
      <c r="F14" s="110"/>
      <c r="G14" s="110"/>
      <c r="H14" s="110"/>
      <c r="I14" s="111">
        <v>7579.77</v>
      </c>
      <c r="J14" s="111">
        <v>7579.77</v>
      </c>
      <c r="K14" s="111"/>
      <c r="L14" s="111"/>
      <c r="M14" s="110"/>
      <c r="N14" s="110"/>
      <c r="O14" s="110"/>
      <c r="P14" s="110"/>
      <c r="Q14" s="110"/>
      <c r="R14" s="110"/>
      <c r="S14" s="110"/>
      <c r="T14" s="110"/>
      <c r="U14" s="112">
        <f t="shared" si="1"/>
        <v>7579.77</v>
      </c>
      <c r="V14" s="112">
        <f t="shared" si="2"/>
        <v>7579.77</v>
      </c>
      <c r="W14" s="112">
        <f t="shared" si="3"/>
        <v>7579.77</v>
      </c>
    </row>
    <row r="15" spans="1:27" x14ac:dyDescent="0.25">
      <c r="A15" s="89">
        <v>14</v>
      </c>
      <c r="B15" s="354"/>
      <c r="C15" s="51" t="s">
        <v>210</v>
      </c>
      <c r="D15" s="52" t="s">
        <v>217</v>
      </c>
      <c r="E15" s="110"/>
      <c r="F15" s="110"/>
      <c r="G15" s="110"/>
      <c r="H15" s="110"/>
      <c r="I15" s="111">
        <v>13728</v>
      </c>
      <c r="J15" s="111">
        <v>13728</v>
      </c>
      <c r="K15" s="111"/>
      <c r="L15" s="111"/>
      <c r="M15" s="110"/>
      <c r="N15" s="110"/>
      <c r="O15" s="110"/>
      <c r="P15" s="110"/>
      <c r="Q15" s="110"/>
      <c r="R15" s="110"/>
      <c r="S15" s="110"/>
      <c r="T15" s="110"/>
      <c r="U15" s="112">
        <f t="shared" si="1"/>
        <v>13728</v>
      </c>
      <c r="V15" s="112">
        <f t="shared" si="2"/>
        <v>13728</v>
      </c>
      <c r="W15" s="112">
        <f t="shared" si="3"/>
        <v>13728</v>
      </c>
    </row>
    <row r="16" spans="1:27" x14ac:dyDescent="0.25">
      <c r="A16" s="89">
        <v>15</v>
      </c>
      <c r="B16" s="354"/>
      <c r="C16" s="51" t="s">
        <v>210</v>
      </c>
      <c r="D16" s="52" t="s">
        <v>316</v>
      </c>
      <c r="E16" s="110"/>
      <c r="F16" s="110"/>
      <c r="G16" s="110"/>
      <c r="H16" s="110"/>
      <c r="I16" s="111">
        <v>0</v>
      </c>
      <c r="J16" s="111">
        <v>0</v>
      </c>
      <c r="K16" s="111"/>
      <c r="L16" s="111"/>
      <c r="M16" s="110"/>
      <c r="N16" s="110"/>
      <c r="O16" s="110"/>
      <c r="P16" s="110"/>
      <c r="Q16" s="110"/>
      <c r="R16" s="110"/>
      <c r="S16" s="110"/>
      <c r="T16" s="110"/>
      <c r="U16" s="112">
        <f t="shared" si="1"/>
        <v>0</v>
      </c>
      <c r="V16" s="112">
        <f t="shared" si="2"/>
        <v>0</v>
      </c>
      <c r="W16" s="112">
        <f t="shared" si="3"/>
        <v>0</v>
      </c>
    </row>
    <row r="17" spans="1:23" x14ac:dyDescent="0.25">
      <c r="A17" s="89">
        <v>16</v>
      </c>
      <c r="B17" s="354"/>
      <c r="C17" s="51" t="s">
        <v>210</v>
      </c>
      <c r="D17" s="52" t="s">
        <v>218</v>
      </c>
      <c r="E17" s="110"/>
      <c r="F17" s="110"/>
      <c r="G17" s="110"/>
      <c r="H17" s="110"/>
      <c r="I17" s="111">
        <v>6117.65</v>
      </c>
      <c r="J17" s="111">
        <v>6117.65</v>
      </c>
      <c r="K17" s="111"/>
      <c r="L17" s="111"/>
      <c r="M17" s="110"/>
      <c r="N17" s="110"/>
      <c r="O17" s="110"/>
      <c r="P17" s="110"/>
      <c r="Q17" s="110"/>
      <c r="R17" s="110"/>
      <c r="S17" s="110"/>
      <c r="T17" s="110"/>
      <c r="U17" s="112">
        <f t="shared" si="1"/>
        <v>6117.65</v>
      </c>
      <c r="V17" s="112">
        <f t="shared" si="2"/>
        <v>6117.65</v>
      </c>
      <c r="W17" s="112">
        <f t="shared" si="3"/>
        <v>6117.65</v>
      </c>
    </row>
    <row r="18" spans="1:23" x14ac:dyDescent="0.25">
      <c r="A18" s="89">
        <v>17</v>
      </c>
      <c r="B18" s="354"/>
      <c r="C18" s="51" t="s">
        <v>210</v>
      </c>
      <c r="D18" s="52" t="s">
        <v>327</v>
      </c>
      <c r="E18" s="110"/>
      <c r="F18" s="110"/>
      <c r="G18" s="110"/>
      <c r="H18" s="110"/>
      <c r="I18" s="111">
        <v>641.41999999999996</v>
      </c>
      <c r="J18" s="111">
        <v>641.41999999999996</v>
      </c>
      <c r="K18" s="111"/>
      <c r="L18" s="111"/>
      <c r="M18" s="110"/>
      <c r="N18" s="110"/>
      <c r="O18" s="110"/>
      <c r="P18" s="110"/>
      <c r="Q18" s="110"/>
      <c r="R18" s="110"/>
      <c r="S18" s="110"/>
      <c r="T18" s="110"/>
      <c r="U18" s="112">
        <f t="shared" si="1"/>
        <v>641.41999999999996</v>
      </c>
      <c r="V18" s="112">
        <f t="shared" si="2"/>
        <v>641.41999999999996</v>
      </c>
      <c r="W18" s="112">
        <f t="shared" si="3"/>
        <v>641.41999999999996</v>
      </c>
    </row>
    <row r="19" spans="1:23" x14ac:dyDescent="0.25">
      <c r="A19" s="89">
        <v>18</v>
      </c>
      <c r="B19" s="354"/>
      <c r="C19" s="51" t="s">
        <v>210</v>
      </c>
      <c r="D19" s="52" t="s">
        <v>328</v>
      </c>
      <c r="E19" s="110"/>
      <c r="F19" s="110"/>
      <c r="G19" s="110"/>
      <c r="H19" s="110"/>
      <c r="I19" s="111">
        <v>430.95</v>
      </c>
      <c r="J19" s="111">
        <v>430.95</v>
      </c>
      <c r="K19" s="111"/>
      <c r="L19" s="111"/>
      <c r="M19" s="110"/>
      <c r="N19" s="110"/>
      <c r="O19" s="110"/>
      <c r="P19" s="110"/>
      <c r="Q19" s="110"/>
      <c r="R19" s="110"/>
      <c r="S19" s="110"/>
      <c r="T19" s="110"/>
      <c r="U19" s="112">
        <f t="shared" si="1"/>
        <v>430.95</v>
      </c>
      <c r="V19" s="112">
        <f t="shared" si="2"/>
        <v>430.95</v>
      </c>
      <c r="W19" s="112">
        <f t="shared" si="3"/>
        <v>430.95</v>
      </c>
    </row>
    <row r="20" spans="1:23" x14ac:dyDescent="0.25">
      <c r="A20" s="89">
        <v>19</v>
      </c>
      <c r="B20" s="354"/>
      <c r="C20" s="51" t="s">
        <v>210</v>
      </c>
      <c r="D20" s="52" t="s">
        <v>220</v>
      </c>
      <c r="E20" s="110"/>
      <c r="F20" s="110"/>
      <c r="G20" s="110"/>
      <c r="H20" s="110"/>
      <c r="I20" s="111">
        <v>3.6</v>
      </c>
      <c r="J20" s="111">
        <v>3.6</v>
      </c>
      <c r="K20" s="111"/>
      <c r="L20" s="111"/>
      <c r="M20" s="110"/>
      <c r="N20" s="110"/>
      <c r="O20" s="110"/>
      <c r="P20" s="110"/>
      <c r="Q20" s="110"/>
      <c r="R20" s="110"/>
      <c r="S20" s="110"/>
      <c r="T20" s="110"/>
      <c r="U20" s="112">
        <f t="shared" si="1"/>
        <v>3.6</v>
      </c>
      <c r="V20" s="112">
        <f t="shared" si="2"/>
        <v>3.6</v>
      </c>
      <c r="W20" s="112">
        <f t="shared" si="3"/>
        <v>3.6</v>
      </c>
    </row>
    <row r="21" spans="1:23" x14ac:dyDescent="0.25">
      <c r="A21" s="89">
        <v>20</v>
      </c>
      <c r="B21" s="354"/>
      <c r="C21" s="51" t="s">
        <v>210</v>
      </c>
      <c r="D21" s="52" t="s">
        <v>219</v>
      </c>
      <c r="E21" s="110"/>
      <c r="F21" s="110"/>
      <c r="G21" s="110"/>
      <c r="H21" s="110"/>
      <c r="I21" s="111">
        <v>12.1</v>
      </c>
      <c r="J21" s="111">
        <v>12.1</v>
      </c>
      <c r="K21" s="111"/>
      <c r="L21" s="111"/>
      <c r="M21" s="110"/>
      <c r="N21" s="110"/>
      <c r="O21" s="110"/>
      <c r="P21" s="110"/>
      <c r="Q21" s="110"/>
      <c r="R21" s="110"/>
      <c r="S21" s="110"/>
      <c r="T21" s="110"/>
      <c r="U21" s="112">
        <f t="shared" si="1"/>
        <v>12.1</v>
      </c>
      <c r="V21" s="112">
        <f t="shared" si="2"/>
        <v>12.1</v>
      </c>
      <c r="W21" s="112">
        <f t="shared" si="3"/>
        <v>12.1</v>
      </c>
    </row>
    <row r="22" spans="1:23" x14ac:dyDescent="0.25">
      <c r="A22" s="89">
        <v>21</v>
      </c>
      <c r="B22" s="354"/>
      <c r="C22" s="51" t="s">
        <v>210</v>
      </c>
      <c r="D22" s="52" t="s">
        <v>386</v>
      </c>
      <c r="E22" s="110"/>
      <c r="F22" s="110"/>
      <c r="G22" s="110"/>
      <c r="H22" s="110"/>
      <c r="I22" s="111">
        <v>1041</v>
      </c>
      <c r="J22" s="111">
        <v>1041</v>
      </c>
      <c r="K22" s="111"/>
      <c r="L22" s="111"/>
      <c r="M22" s="110"/>
      <c r="N22" s="110"/>
      <c r="O22" s="110"/>
      <c r="P22" s="110"/>
      <c r="Q22" s="110"/>
      <c r="R22" s="110"/>
      <c r="S22" s="110"/>
      <c r="T22" s="110"/>
      <c r="U22" s="112">
        <f t="shared" si="1"/>
        <v>1041</v>
      </c>
      <c r="V22" s="112">
        <f t="shared" si="2"/>
        <v>1041</v>
      </c>
      <c r="W22" s="112">
        <f t="shared" si="3"/>
        <v>1041</v>
      </c>
    </row>
    <row r="23" spans="1:23" x14ac:dyDescent="0.25">
      <c r="A23" s="89">
        <v>22</v>
      </c>
      <c r="B23" s="354"/>
      <c r="C23" s="51" t="s">
        <v>210</v>
      </c>
      <c r="D23" s="52" t="s">
        <v>329</v>
      </c>
      <c r="E23" s="110"/>
      <c r="F23" s="110"/>
      <c r="G23" s="110"/>
      <c r="H23" s="110"/>
      <c r="I23" s="111">
        <f>15171.9+6615+27692.4+13230</f>
        <v>62709.3</v>
      </c>
      <c r="J23" s="111">
        <f>15171.9+6615+27692.4+13230</f>
        <v>62709.3</v>
      </c>
      <c r="K23" s="111"/>
      <c r="L23" s="111"/>
      <c r="M23" s="110"/>
      <c r="N23" s="110"/>
      <c r="O23" s="110"/>
      <c r="P23" s="110"/>
      <c r="Q23" s="110"/>
      <c r="R23" s="110"/>
      <c r="S23" s="110"/>
      <c r="T23" s="110"/>
      <c r="U23" s="112">
        <f t="shared" si="1"/>
        <v>62709.3</v>
      </c>
      <c r="V23" s="112">
        <f t="shared" si="2"/>
        <v>62709.3</v>
      </c>
      <c r="W23" s="112">
        <f t="shared" si="3"/>
        <v>62709.3</v>
      </c>
    </row>
    <row r="24" spans="1:23" x14ac:dyDescent="0.25">
      <c r="A24" s="89">
        <v>23</v>
      </c>
      <c r="B24" s="354"/>
      <c r="C24" s="51" t="s">
        <v>210</v>
      </c>
      <c r="D24" s="52" t="s">
        <v>221</v>
      </c>
      <c r="E24" s="110"/>
      <c r="F24" s="110"/>
      <c r="G24" s="110"/>
      <c r="H24" s="110"/>
      <c r="I24" s="111">
        <f>5446.667+2995.667</f>
        <v>8442.3340000000007</v>
      </c>
      <c r="J24" s="111">
        <f>5446.667+2995.667</f>
        <v>8442.3340000000007</v>
      </c>
      <c r="K24" s="111"/>
      <c r="L24" s="111"/>
      <c r="M24" s="110"/>
      <c r="N24" s="110"/>
      <c r="O24" s="113"/>
      <c r="P24" s="113"/>
      <c r="Q24" s="110"/>
      <c r="R24" s="110"/>
      <c r="S24" s="110"/>
      <c r="T24" s="110"/>
      <c r="U24" s="112">
        <f t="shared" si="1"/>
        <v>8442.3340000000007</v>
      </c>
      <c r="V24" s="112">
        <f t="shared" si="2"/>
        <v>8442.3340000000007</v>
      </c>
      <c r="W24" s="112">
        <f t="shared" si="3"/>
        <v>8442.3340000000007</v>
      </c>
    </row>
    <row r="25" spans="1:23" x14ac:dyDescent="0.25">
      <c r="A25" s="89">
        <v>24</v>
      </c>
      <c r="B25" s="354"/>
      <c r="C25" s="51" t="s">
        <v>210</v>
      </c>
      <c r="D25" s="52" t="s">
        <v>305</v>
      </c>
      <c r="E25" s="110"/>
      <c r="F25" s="110"/>
      <c r="G25" s="110"/>
      <c r="H25" s="110"/>
      <c r="I25" s="111">
        <f>802+367.584</f>
        <v>1169.5840000000001</v>
      </c>
      <c r="J25" s="111">
        <f>802+367.584</f>
        <v>1169.5840000000001</v>
      </c>
      <c r="K25" s="111"/>
      <c r="L25" s="111"/>
      <c r="M25" s="110"/>
      <c r="N25" s="110"/>
      <c r="O25" s="113"/>
      <c r="P25" s="113"/>
      <c r="Q25" s="110"/>
      <c r="R25" s="110"/>
      <c r="S25" s="110"/>
      <c r="T25" s="110"/>
      <c r="U25" s="112">
        <f t="shared" si="1"/>
        <v>1169.5840000000001</v>
      </c>
      <c r="V25" s="112">
        <f t="shared" si="2"/>
        <v>1169.5840000000001</v>
      </c>
      <c r="W25" s="112">
        <f t="shared" si="3"/>
        <v>1169.5840000000001</v>
      </c>
    </row>
    <row r="26" spans="1:23" x14ac:dyDescent="0.25">
      <c r="A26" s="89">
        <v>25</v>
      </c>
      <c r="B26" s="354"/>
      <c r="C26" s="51" t="s">
        <v>210</v>
      </c>
      <c r="D26" s="94" t="s">
        <v>222</v>
      </c>
      <c r="E26" s="110"/>
      <c r="F26" s="110"/>
      <c r="G26" s="110"/>
      <c r="H26" s="110"/>
      <c r="I26" s="114">
        <v>33238</v>
      </c>
      <c r="J26" s="114">
        <v>33238</v>
      </c>
      <c r="K26" s="114"/>
      <c r="L26" s="114"/>
      <c r="M26" s="110"/>
      <c r="N26" s="110"/>
      <c r="O26" s="110"/>
      <c r="P26" s="110"/>
      <c r="Q26" s="110"/>
      <c r="R26" s="110"/>
      <c r="S26" s="110"/>
      <c r="T26" s="110"/>
      <c r="U26" s="112">
        <f t="shared" si="1"/>
        <v>33238</v>
      </c>
      <c r="V26" s="112">
        <f t="shared" si="2"/>
        <v>33238</v>
      </c>
      <c r="W26" s="112">
        <f t="shared" si="3"/>
        <v>33238</v>
      </c>
    </row>
    <row r="27" spans="1:23" x14ac:dyDescent="0.25">
      <c r="A27" s="89">
        <v>26</v>
      </c>
      <c r="B27" s="354"/>
      <c r="C27" s="51" t="s">
        <v>210</v>
      </c>
      <c r="D27" s="52" t="s">
        <v>224</v>
      </c>
      <c r="E27" s="110"/>
      <c r="F27" s="110"/>
      <c r="G27" s="110"/>
      <c r="H27" s="110"/>
      <c r="I27" s="111">
        <f>3400+3100.16+175+5610+1853</f>
        <v>14138.16</v>
      </c>
      <c r="J27" s="111">
        <f>3400+3100.16+175+5610+1853</f>
        <v>14138.16</v>
      </c>
      <c r="K27" s="111"/>
      <c r="L27" s="111"/>
      <c r="M27" s="110"/>
      <c r="N27" s="110"/>
      <c r="O27" s="113"/>
      <c r="P27" s="113"/>
      <c r="Q27" s="110"/>
      <c r="R27" s="110"/>
      <c r="S27" s="110"/>
      <c r="T27" s="110"/>
      <c r="U27" s="112">
        <f t="shared" si="1"/>
        <v>14138.16</v>
      </c>
      <c r="V27" s="112">
        <f t="shared" si="2"/>
        <v>14138.16</v>
      </c>
      <c r="W27" s="112">
        <f t="shared" si="3"/>
        <v>14138.16</v>
      </c>
    </row>
    <row r="28" spans="1:23" x14ac:dyDescent="0.25">
      <c r="A28" s="89">
        <v>27</v>
      </c>
      <c r="B28" s="354"/>
      <c r="C28" s="51" t="s">
        <v>214</v>
      </c>
      <c r="D28" s="52" t="s">
        <v>225</v>
      </c>
      <c r="E28" s="110"/>
      <c r="F28" s="110"/>
      <c r="G28" s="110"/>
      <c r="H28" s="110"/>
      <c r="I28" s="111">
        <f>22784+12046</f>
        <v>34830</v>
      </c>
      <c r="J28" s="111">
        <f>22784+12046</f>
        <v>34830</v>
      </c>
      <c r="K28" s="111"/>
      <c r="L28" s="111"/>
      <c r="M28" s="110"/>
      <c r="N28" s="110"/>
      <c r="O28" s="110"/>
      <c r="P28" s="110"/>
      <c r="Q28" s="110"/>
      <c r="R28" s="110"/>
      <c r="S28" s="110"/>
      <c r="T28" s="110"/>
      <c r="U28" s="112">
        <f t="shared" si="1"/>
        <v>34830</v>
      </c>
      <c r="V28" s="112">
        <f t="shared" si="2"/>
        <v>34830</v>
      </c>
      <c r="W28" s="112">
        <f t="shared" si="3"/>
        <v>34830</v>
      </c>
    </row>
    <row r="29" spans="1:23" x14ac:dyDescent="0.25">
      <c r="A29" s="89">
        <v>28</v>
      </c>
      <c r="B29" s="354"/>
      <c r="C29" s="51" t="s">
        <v>210</v>
      </c>
      <c r="D29" s="52" t="s">
        <v>223</v>
      </c>
      <c r="E29" s="110"/>
      <c r="F29" s="110"/>
      <c r="G29" s="110"/>
      <c r="H29" s="110"/>
      <c r="I29" s="111">
        <f>14554+22810.481</f>
        <v>37364.481</v>
      </c>
      <c r="J29" s="111">
        <f>14554+22810.481</f>
        <v>37364.481</v>
      </c>
      <c r="K29" s="111"/>
      <c r="L29" s="111"/>
      <c r="M29" s="110"/>
      <c r="N29" s="110"/>
      <c r="O29" s="110"/>
      <c r="P29" s="110"/>
      <c r="Q29" s="110"/>
      <c r="R29" s="110"/>
      <c r="S29" s="110"/>
      <c r="T29" s="110"/>
      <c r="U29" s="112">
        <f t="shared" si="1"/>
        <v>37364.481</v>
      </c>
      <c r="V29" s="112">
        <f t="shared" si="2"/>
        <v>37364.481</v>
      </c>
      <c r="W29" s="112">
        <f t="shared" si="3"/>
        <v>37364.481</v>
      </c>
    </row>
    <row r="30" spans="1:23" x14ac:dyDescent="0.25">
      <c r="A30" s="89">
        <v>29</v>
      </c>
      <c r="B30" s="354"/>
      <c r="C30" s="51" t="s">
        <v>210</v>
      </c>
      <c r="D30" s="52" t="s">
        <v>387</v>
      </c>
      <c r="E30" s="110"/>
      <c r="F30" s="110"/>
      <c r="G30" s="110"/>
      <c r="H30" s="110"/>
      <c r="I30" s="111">
        <v>625.86</v>
      </c>
      <c r="J30" s="111">
        <v>625.86</v>
      </c>
      <c r="K30" s="111"/>
      <c r="L30" s="111"/>
      <c r="M30" s="110"/>
      <c r="N30" s="110"/>
      <c r="O30" s="110"/>
      <c r="P30" s="110"/>
      <c r="Q30" s="110"/>
      <c r="R30" s="110"/>
      <c r="S30" s="110"/>
      <c r="T30" s="110"/>
      <c r="U30" s="112">
        <f t="shared" si="1"/>
        <v>625.86</v>
      </c>
      <c r="V30" s="112">
        <f t="shared" si="2"/>
        <v>625.86</v>
      </c>
      <c r="W30" s="112">
        <f t="shared" si="3"/>
        <v>625.86</v>
      </c>
    </row>
    <row r="31" spans="1:23" x14ac:dyDescent="0.25">
      <c r="A31" s="89">
        <v>30</v>
      </c>
      <c r="B31" s="355"/>
      <c r="C31" s="51" t="s">
        <v>210</v>
      </c>
      <c r="D31" s="52" t="s">
        <v>226</v>
      </c>
      <c r="E31" s="110"/>
      <c r="F31" s="110"/>
      <c r="G31" s="110"/>
      <c r="H31" s="110"/>
      <c r="I31" s="111">
        <v>4400.7700000000004</v>
      </c>
      <c r="J31" s="111">
        <v>4400.7700000000004</v>
      </c>
      <c r="K31" s="110"/>
      <c r="L31" s="110"/>
      <c r="M31" s="111"/>
      <c r="N31" s="111"/>
      <c r="O31" s="110"/>
      <c r="P31" s="110"/>
      <c r="Q31" s="110"/>
      <c r="R31" s="110"/>
      <c r="S31" s="110"/>
      <c r="T31" s="110"/>
      <c r="U31" s="112">
        <f t="shared" si="1"/>
        <v>4400.7700000000004</v>
      </c>
      <c r="V31" s="112">
        <f t="shared" si="2"/>
        <v>4400.7700000000004</v>
      </c>
      <c r="W31" s="112">
        <f t="shared" si="3"/>
        <v>4400.7700000000004</v>
      </c>
    </row>
    <row r="32" spans="1:23" x14ac:dyDescent="0.25">
      <c r="A32" s="89">
        <v>31</v>
      </c>
      <c r="B32" s="51">
        <v>134</v>
      </c>
      <c r="C32" s="51" t="s">
        <v>210</v>
      </c>
      <c r="D32" s="52" t="s">
        <v>227</v>
      </c>
      <c r="E32" s="110"/>
      <c r="F32" s="110"/>
      <c r="G32" s="110"/>
      <c r="H32" s="110"/>
      <c r="I32" s="110"/>
      <c r="J32" s="110"/>
      <c r="K32" s="110"/>
      <c r="L32" s="110"/>
      <c r="M32" s="111">
        <v>86294</v>
      </c>
      <c r="N32" s="111">
        <v>86294</v>
      </c>
      <c r="O32" s="110"/>
      <c r="P32" s="110"/>
      <c r="Q32" s="110"/>
      <c r="R32" s="110"/>
      <c r="S32" s="110"/>
      <c r="T32" s="110"/>
      <c r="U32" s="112">
        <f t="shared" si="1"/>
        <v>86294</v>
      </c>
      <c r="V32" s="112">
        <f t="shared" si="2"/>
        <v>86294</v>
      </c>
      <c r="W32" s="112">
        <f t="shared" si="3"/>
        <v>86294</v>
      </c>
    </row>
    <row r="33" spans="1:23" x14ac:dyDescent="0.25">
      <c r="A33" s="89">
        <v>32</v>
      </c>
      <c r="B33" s="51">
        <v>135</v>
      </c>
      <c r="C33" s="51" t="s">
        <v>210</v>
      </c>
      <c r="D33" s="52" t="s">
        <v>228</v>
      </c>
      <c r="E33" s="110"/>
      <c r="F33" s="110"/>
      <c r="G33" s="110"/>
      <c r="H33" s="110"/>
      <c r="I33" s="110"/>
      <c r="J33" s="110"/>
      <c r="K33" s="110"/>
      <c r="L33" s="110"/>
      <c r="M33" s="111">
        <v>17204</v>
      </c>
      <c r="N33" s="111">
        <v>17204</v>
      </c>
      <c r="O33" s="110"/>
      <c r="P33" s="110"/>
      <c r="Q33" s="110"/>
      <c r="R33" s="110"/>
      <c r="S33" s="110"/>
      <c r="T33" s="110"/>
      <c r="U33" s="112">
        <f t="shared" si="1"/>
        <v>17204</v>
      </c>
      <c r="V33" s="112">
        <f t="shared" si="2"/>
        <v>17204</v>
      </c>
      <c r="W33" s="112">
        <f t="shared" si="3"/>
        <v>17204</v>
      </c>
    </row>
    <row r="34" spans="1:23" x14ac:dyDescent="0.25">
      <c r="A34" s="89">
        <v>33</v>
      </c>
      <c r="B34" s="51">
        <v>137</v>
      </c>
      <c r="C34" s="51" t="s">
        <v>210</v>
      </c>
      <c r="D34" s="52" t="s">
        <v>229</v>
      </c>
      <c r="E34" s="110"/>
      <c r="F34" s="110"/>
      <c r="G34" s="110"/>
      <c r="H34" s="110"/>
      <c r="I34" s="110"/>
      <c r="J34" s="110"/>
      <c r="K34" s="110"/>
      <c r="L34" s="110"/>
      <c r="M34" s="111">
        <v>7875</v>
      </c>
      <c r="N34" s="111">
        <v>7875</v>
      </c>
      <c r="O34" s="110"/>
      <c r="P34" s="110"/>
      <c r="Q34" s="110"/>
      <c r="R34" s="110"/>
      <c r="S34" s="110"/>
      <c r="T34" s="110"/>
      <c r="U34" s="112">
        <f t="shared" si="1"/>
        <v>7875</v>
      </c>
      <c r="V34" s="112">
        <f t="shared" si="2"/>
        <v>7875</v>
      </c>
      <c r="W34" s="112">
        <f t="shared" si="3"/>
        <v>7875</v>
      </c>
    </row>
    <row r="35" spans="1:23" x14ac:dyDescent="0.25">
      <c r="A35" s="89">
        <v>34</v>
      </c>
      <c r="B35" s="51">
        <v>138</v>
      </c>
      <c r="C35" s="51" t="s">
        <v>210</v>
      </c>
      <c r="D35" s="52" t="s">
        <v>230</v>
      </c>
      <c r="E35" s="110"/>
      <c r="F35" s="110"/>
      <c r="G35" s="110"/>
      <c r="H35" s="110"/>
      <c r="I35" s="110"/>
      <c r="J35" s="110"/>
      <c r="K35" s="110"/>
      <c r="L35" s="110"/>
      <c r="M35" s="111">
        <v>2000</v>
      </c>
      <c r="N35" s="111">
        <v>2000</v>
      </c>
      <c r="O35" s="110"/>
      <c r="P35" s="110"/>
      <c r="Q35" s="110"/>
      <c r="R35" s="110"/>
      <c r="S35" s="110"/>
      <c r="T35" s="110"/>
      <c r="U35" s="112">
        <f t="shared" si="1"/>
        <v>2000</v>
      </c>
      <c r="V35" s="112">
        <f t="shared" si="2"/>
        <v>2000</v>
      </c>
      <c r="W35" s="112">
        <f t="shared" si="3"/>
        <v>2000</v>
      </c>
    </row>
    <row r="36" spans="1:23" x14ac:dyDescent="0.25">
      <c r="A36" s="89">
        <v>35</v>
      </c>
      <c r="B36" s="51">
        <v>139</v>
      </c>
      <c r="C36" s="51" t="s">
        <v>214</v>
      </c>
      <c r="D36" s="52" t="s">
        <v>231</v>
      </c>
      <c r="E36" s="110"/>
      <c r="F36" s="110"/>
      <c r="G36" s="110"/>
      <c r="H36" s="110"/>
      <c r="I36" s="110"/>
      <c r="J36" s="110"/>
      <c r="K36" s="110"/>
      <c r="L36" s="110"/>
      <c r="M36" s="110">
        <v>2562</v>
      </c>
      <c r="N36" s="110">
        <f>2562</f>
        <v>2562</v>
      </c>
      <c r="O36" s="110"/>
      <c r="P36" s="110"/>
      <c r="Q36" s="110"/>
      <c r="R36" s="110"/>
      <c r="S36" s="110"/>
      <c r="T36" s="110"/>
      <c r="U36" s="112">
        <f t="shared" si="1"/>
        <v>2562</v>
      </c>
      <c r="V36" s="112">
        <f t="shared" si="2"/>
        <v>2562</v>
      </c>
      <c r="W36" s="112">
        <f t="shared" si="3"/>
        <v>2562</v>
      </c>
    </row>
    <row r="37" spans="1:23" x14ac:dyDescent="0.25">
      <c r="A37" s="89">
        <v>36</v>
      </c>
      <c r="B37" s="51">
        <v>140</v>
      </c>
      <c r="C37" s="51" t="s">
        <v>210</v>
      </c>
      <c r="D37" s="52" t="s">
        <v>232</v>
      </c>
      <c r="E37" s="114">
        <v>16000</v>
      </c>
      <c r="F37" s="114">
        <v>16000</v>
      </c>
      <c r="G37" s="110"/>
      <c r="H37" s="110"/>
      <c r="I37" s="110"/>
      <c r="J37" s="110"/>
      <c r="K37" s="110"/>
      <c r="L37" s="110"/>
      <c r="M37" s="110">
        <v>1000</v>
      </c>
      <c r="N37" s="291">
        <f>1000+1235.61</f>
        <v>2235.6099999999997</v>
      </c>
      <c r="O37" s="110"/>
      <c r="P37" s="110"/>
      <c r="Q37" s="110"/>
      <c r="R37" s="110"/>
      <c r="S37" s="110"/>
      <c r="T37" s="110"/>
      <c r="U37" s="112">
        <f t="shared" si="1"/>
        <v>17000</v>
      </c>
      <c r="V37" s="112">
        <f t="shared" si="2"/>
        <v>18235.61</v>
      </c>
      <c r="W37" s="112">
        <f t="shared" si="3"/>
        <v>18235.61</v>
      </c>
    </row>
    <row r="38" spans="1:23" x14ac:dyDescent="0.25">
      <c r="A38" s="89">
        <v>37</v>
      </c>
      <c r="B38" s="51">
        <v>141</v>
      </c>
      <c r="C38" s="51" t="s">
        <v>214</v>
      </c>
      <c r="D38" s="52" t="s">
        <v>233</v>
      </c>
      <c r="E38" s="111">
        <v>2500</v>
      </c>
      <c r="F38" s="111">
        <v>2500</v>
      </c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2">
        <f t="shared" si="1"/>
        <v>2500</v>
      </c>
      <c r="V38" s="112">
        <f t="shared" si="2"/>
        <v>2500</v>
      </c>
      <c r="W38" s="112">
        <f t="shared" si="3"/>
        <v>2500</v>
      </c>
    </row>
    <row r="39" spans="1:23" x14ac:dyDescent="0.25">
      <c r="A39" s="89">
        <v>38</v>
      </c>
      <c r="B39" s="51"/>
      <c r="C39" s="51" t="s">
        <v>214</v>
      </c>
      <c r="D39" s="52" t="s">
        <v>388</v>
      </c>
      <c r="E39" s="111"/>
      <c r="F39" s="111"/>
      <c r="G39" s="110"/>
      <c r="H39" s="110"/>
      <c r="I39" s="110"/>
      <c r="J39" s="110"/>
      <c r="K39" s="110">
        <v>15000</v>
      </c>
      <c r="L39" s="110">
        <v>15000</v>
      </c>
      <c r="M39" s="110"/>
      <c r="N39" s="110"/>
      <c r="O39" s="110"/>
      <c r="P39" s="110"/>
      <c r="Q39" s="110"/>
      <c r="R39" s="110"/>
      <c r="S39" s="110"/>
      <c r="T39" s="110"/>
      <c r="U39" s="112">
        <f t="shared" si="1"/>
        <v>15000</v>
      </c>
      <c r="V39" s="112">
        <f t="shared" si="2"/>
        <v>0</v>
      </c>
      <c r="W39" s="112">
        <f t="shared" si="3"/>
        <v>15000</v>
      </c>
    </row>
    <row r="40" spans="1:23" x14ac:dyDescent="0.25">
      <c r="A40" s="89">
        <v>39</v>
      </c>
      <c r="B40" s="51"/>
      <c r="C40" s="51" t="s">
        <v>210</v>
      </c>
      <c r="D40" s="52" t="s">
        <v>337</v>
      </c>
      <c r="E40" s="111"/>
      <c r="F40" s="111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>
        <v>85802</v>
      </c>
      <c r="T40" s="110">
        <f>85802+5777.34</f>
        <v>91579.34</v>
      </c>
      <c r="U40" s="112">
        <f t="shared" si="1"/>
        <v>85802</v>
      </c>
      <c r="V40" s="112">
        <f t="shared" si="2"/>
        <v>91579.34</v>
      </c>
      <c r="W40" s="112">
        <f t="shared" si="3"/>
        <v>91579.34</v>
      </c>
    </row>
    <row r="41" spans="1:23" x14ac:dyDescent="0.25">
      <c r="A41" s="89">
        <v>40</v>
      </c>
      <c r="B41" s="51">
        <v>124</v>
      </c>
      <c r="C41" s="51" t="s">
        <v>214</v>
      </c>
      <c r="D41" s="52" t="s">
        <v>337</v>
      </c>
      <c r="E41" s="111"/>
      <c r="F41" s="111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2">
        <f t="shared" si="1"/>
        <v>0</v>
      </c>
      <c r="V41" s="112">
        <f t="shared" si="2"/>
        <v>0</v>
      </c>
      <c r="W41" s="112">
        <f t="shared" si="3"/>
        <v>0</v>
      </c>
    </row>
    <row r="42" spans="1:23" x14ac:dyDescent="0.25">
      <c r="A42" s="89">
        <v>41</v>
      </c>
      <c r="B42" s="51"/>
      <c r="C42" s="55" t="s">
        <v>214</v>
      </c>
      <c r="D42" s="56" t="s">
        <v>389</v>
      </c>
      <c r="E42" s="111"/>
      <c r="F42" s="111"/>
      <c r="G42" s="110"/>
      <c r="H42" s="110"/>
      <c r="I42" s="110"/>
      <c r="J42" s="110"/>
      <c r="K42" s="110"/>
      <c r="L42" s="110"/>
      <c r="M42" s="110">
        <v>1767</v>
      </c>
      <c r="N42" s="110">
        <v>1767</v>
      </c>
      <c r="O42" s="110">
        <v>104426</v>
      </c>
      <c r="P42" s="110">
        <f>104426-9779.945</f>
        <v>94646.054999999993</v>
      </c>
      <c r="Q42" s="110"/>
      <c r="R42" s="110"/>
      <c r="S42" s="110"/>
      <c r="T42" s="110"/>
      <c r="U42" s="112">
        <f t="shared" si="1"/>
        <v>106193</v>
      </c>
      <c r="V42" s="112">
        <f t="shared" si="2"/>
        <v>96413.054999999993</v>
      </c>
      <c r="W42" s="112">
        <f t="shared" si="3"/>
        <v>96413.054999999993</v>
      </c>
    </row>
    <row r="43" spans="1:23" x14ac:dyDescent="0.25">
      <c r="A43" s="89">
        <v>42</v>
      </c>
      <c r="B43" s="51">
        <v>159</v>
      </c>
      <c r="C43" s="55" t="s">
        <v>214</v>
      </c>
      <c r="D43" s="56" t="s">
        <v>390</v>
      </c>
      <c r="E43" s="111"/>
      <c r="F43" s="111"/>
      <c r="G43" s="110"/>
      <c r="H43" s="110"/>
      <c r="I43" s="110"/>
      <c r="J43" s="110"/>
      <c r="K43" s="110"/>
      <c r="L43" s="110"/>
      <c r="M43" s="110">
        <v>685</v>
      </c>
      <c r="N43" s="110">
        <v>685</v>
      </c>
      <c r="O43" s="110">
        <v>44082</v>
      </c>
      <c r="P43" s="110">
        <v>44082</v>
      </c>
      <c r="Q43" s="110"/>
      <c r="R43" s="110"/>
      <c r="S43" s="110"/>
      <c r="T43" s="110"/>
      <c r="U43" s="112">
        <f t="shared" si="1"/>
        <v>44767</v>
      </c>
      <c r="V43" s="112">
        <f t="shared" si="2"/>
        <v>44767</v>
      </c>
      <c r="W43" s="112">
        <f t="shared" si="3"/>
        <v>44767</v>
      </c>
    </row>
    <row r="44" spans="1:23" x14ac:dyDescent="0.25">
      <c r="A44" s="89">
        <v>43</v>
      </c>
      <c r="B44" s="51">
        <v>145</v>
      </c>
      <c r="C44" s="51" t="s">
        <v>214</v>
      </c>
      <c r="D44" s="56" t="s">
        <v>343</v>
      </c>
      <c r="E44" s="111"/>
      <c r="F44" s="111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>
        <v>40964.417000000001</v>
      </c>
      <c r="T44" s="110">
        <v>40964.417000000001</v>
      </c>
      <c r="U44" s="112">
        <f t="shared" si="1"/>
        <v>40964.417000000001</v>
      </c>
      <c r="V44" s="112">
        <f t="shared" si="2"/>
        <v>40964.417000000001</v>
      </c>
      <c r="W44" s="112">
        <f t="shared" si="3"/>
        <v>40964.417000000001</v>
      </c>
    </row>
    <row r="45" spans="1:23" x14ac:dyDescent="0.25">
      <c r="A45" s="89">
        <v>44</v>
      </c>
      <c r="B45" s="51">
        <v>146</v>
      </c>
      <c r="C45" s="51" t="s">
        <v>214</v>
      </c>
      <c r="D45" s="56" t="s">
        <v>344</v>
      </c>
      <c r="E45" s="111"/>
      <c r="F45" s="111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>
        <v>208214.476</v>
      </c>
      <c r="T45" s="110">
        <v>208214.476</v>
      </c>
      <c r="U45" s="112">
        <f t="shared" si="1"/>
        <v>208214.476</v>
      </c>
      <c r="V45" s="112">
        <f t="shared" si="2"/>
        <v>208214.476</v>
      </c>
      <c r="W45" s="112">
        <f t="shared" si="3"/>
        <v>208214.476</v>
      </c>
    </row>
    <row r="46" spans="1:23" x14ac:dyDescent="0.25">
      <c r="A46" s="89">
        <v>45</v>
      </c>
      <c r="B46" s="51">
        <v>147</v>
      </c>
      <c r="C46" s="51" t="s">
        <v>214</v>
      </c>
      <c r="D46" s="56" t="s">
        <v>346</v>
      </c>
      <c r="E46" s="111"/>
      <c r="F46" s="111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>
        <v>47680.023999999998</v>
      </c>
      <c r="T46" s="110">
        <v>47680.023999999998</v>
      </c>
      <c r="U46" s="112">
        <f t="shared" si="1"/>
        <v>47680.023999999998</v>
      </c>
      <c r="V46" s="112">
        <f t="shared" si="2"/>
        <v>47680.023999999998</v>
      </c>
      <c r="W46" s="112">
        <f t="shared" si="3"/>
        <v>47680.023999999998</v>
      </c>
    </row>
    <row r="47" spans="1:23" x14ac:dyDescent="0.25">
      <c r="A47" s="89">
        <v>46</v>
      </c>
      <c r="B47" s="51">
        <v>148</v>
      </c>
      <c r="C47" s="55" t="s">
        <v>214</v>
      </c>
      <c r="D47" s="56" t="s">
        <v>347</v>
      </c>
      <c r="E47" s="111"/>
      <c r="F47" s="111"/>
      <c r="G47" s="110"/>
      <c r="H47" s="110"/>
      <c r="I47" s="110"/>
      <c r="J47" s="110"/>
      <c r="K47" s="110"/>
      <c r="L47" s="110"/>
      <c r="M47" s="110">
        <v>11355</v>
      </c>
      <c r="N47" s="110">
        <v>11355</v>
      </c>
      <c r="O47" s="110">
        <v>159401</v>
      </c>
      <c r="P47" s="110">
        <v>159401</v>
      </c>
      <c r="Q47" s="110"/>
      <c r="R47" s="110"/>
      <c r="S47" s="110"/>
      <c r="T47" s="110"/>
      <c r="U47" s="112">
        <f t="shared" si="1"/>
        <v>170756</v>
      </c>
      <c r="V47" s="112">
        <f t="shared" si="2"/>
        <v>170756</v>
      </c>
      <c r="W47" s="112">
        <f t="shared" si="3"/>
        <v>170756</v>
      </c>
    </row>
    <row r="48" spans="1:23" x14ac:dyDescent="0.25">
      <c r="A48" s="89">
        <v>47</v>
      </c>
      <c r="B48" s="51">
        <v>150</v>
      </c>
      <c r="C48" s="55" t="s">
        <v>214</v>
      </c>
      <c r="D48" s="56" t="s">
        <v>348</v>
      </c>
      <c r="E48" s="111"/>
      <c r="F48" s="111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>
        <v>55156.603999999999</v>
      </c>
      <c r="T48" s="110">
        <v>55156.603999999999</v>
      </c>
      <c r="U48" s="112">
        <f t="shared" si="1"/>
        <v>55156.603999999999</v>
      </c>
      <c r="V48" s="112"/>
      <c r="W48" s="112">
        <f t="shared" si="3"/>
        <v>55156.603999999999</v>
      </c>
    </row>
    <row r="49" spans="1:23" x14ac:dyDescent="0.25">
      <c r="A49" s="89">
        <v>48</v>
      </c>
      <c r="B49" s="51">
        <v>156</v>
      </c>
      <c r="C49" s="55" t="s">
        <v>214</v>
      </c>
      <c r="D49" s="56" t="s">
        <v>391</v>
      </c>
      <c r="E49" s="111"/>
      <c r="F49" s="111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>
        <v>20156.232</v>
      </c>
      <c r="T49" s="110">
        <v>20156.232</v>
      </c>
      <c r="U49" s="112">
        <f t="shared" si="1"/>
        <v>20156.232</v>
      </c>
      <c r="V49" s="112"/>
      <c r="W49" s="112">
        <f t="shared" si="3"/>
        <v>20156.232</v>
      </c>
    </row>
    <row r="50" spans="1:23" x14ac:dyDescent="0.25">
      <c r="A50" s="89">
        <v>49</v>
      </c>
      <c r="B50" s="51"/>
      <c r="C50" s="55" t="s">
        <v>210</v>
      </c>
      <c r="D50" s="56" t="s">
        <v>460</v>
      </c>
      <c r="E50" s="111"/>
      <c r="F50" s="111"/>
      <c r="G50" s="110"/>
      <c r="H50" s="110"/>
      <c r="I50" s="110"/>
      <c r="J50" s="110">
        <f>1019+282.021</f>
        <v>1301.021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2">
        <f t="shared" si="1"/>
        <v>0</v>
      </c>
      <c r="V50" s="112"/>
      <c r="W50" s="112">
        <f t="shared" si="3"/>
        <v>1301.021</v>
      </c>
    </row>
    <row r="51" spans="1:23" x14ac:dyDescent="0.25">
      <c r="A51" s="89">
        <v>50</v>
      </c>
      <c r="B51" s="51"/>
      <c r="C51" s="55" t="s">
        <v>210</v>
      </c>
      <c r="D51" s="56" t="s">
        <v>502</v>
      </c>
      <c r="E51" s="111"/>
      <c r="F51" s="111"/>
      <c r="G51" s="110"/>
      <c r="H51" s="110"/>
      <c r="I51" s="110"/>
      <c r="J51" s="110">
        <v>794.11300000000006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2"/>
      <c r="V51" s="112"/>
      <c r="W51" s="112">
        <f t="shared" si="3"/>
        <v>794.11300000000006</v>
      </c>
    </row>
    <row r="52" spans="1:23" x14ac:dyDescent="0.25">
      <c r="A52" s="89">
        <v>51</v>
      </c>
      <c r="B52" s="51"/>
      <c r="C52" s="55" t="s">
        <v>210</v>
      </c>
      <c r="D52" s="56" t="s">
        <v>503</v>
      </c>
      <c r="E52" s="111"/>
      <c r="F52" s="111"/>
      <c r="G52" s="110"/>
      <c r="H52" s="110"/>
      <c r="I52" s="110"/>
      <c r="J52" s="110">
        <v>6042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2"/>
      <c r="V52" s="112"/>
      <c r="W52" s="112">
        <f t="shared" si="3"/>
        <v>6042</v>
      </c>
    </row>
    <row r="53" spans="1:23" x14ac:dyDescent="0.25">
      <c r="A53" s="89">
        <v>52</v>
      </c>
      <c r="B53" s="51"/>
      <c r="C53" s="55" t="s">
        <v>214</v>
      </c>
      <c r="D53" s="56" t="s">
        <v>503</v>
      </c>
      <c r="E53" s="111"/>
      <c r="F53" s="111"/>
      <c r="G53" s="110"/>
      <c r="H53" s="110"/>
      <c r="I53" s="110"/>
      <c r="J53" s="110">
        <v>6292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2"/>
      <c r="V53" s="112"/>
      <c r="W53" s="112">
        <f t="shared" si="3"/>
        <v>6292</v>
      </c>
    </row>
    <row r="54" spans="1:23" x14ac:dyDescent="0.25">
      <c r="A54" s="89">
        <v>53</v>
      </c>
      <c r="B54" s="51"/>
      <c r="C54" s="55" t="s">
        <v>210</v>
      </c>
      <c r="D54" s="56" t="s">
        <v>504</v>
      </c>
      <c r="E54" s="111"/>
      <c r="F54" s="111"/>
      <c r="G54" s="110"/>
      <c r="H54" s="110"/>
      <c r="I54" s="110"/>
      <c r="J54" s="110">
        <v>636.4</v>
      </c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2"/>
      <c r="V54" s="112"/>
      <c r="W54" s="112">
        <f t="shared" si="3"/>
        <v>636.4</v>
      </c>
    </row>
    <row r="55" spans="1:23" x14ac:dyDescent="0.25">
      <c r="A55" s="89">
        <v>54</v>
      </c>
      <c r="B55" s="51"/>
      <c r="C55" s="55" t="s">
        <v>210</v>
      </c>
      <c r="D55" s="56" t="s">
        <v>505</v>
      </c>
      <c r="E55" s="111"/>
      <c r="F55" s="111"/>
      <c r="G55" s="110"/>
      <c r="H55" s="110"/>
      <c r="I55" s="110"/>
      <c r="J55" s="110">
        <v>185.804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2"/>
      <c r="V55" s="112"/>
      <c r="W55" s="112">
        <f t="shared" si="3"/>
        <v>185.804</v>
      </c>
    </row>
    <row r="56" spans="1:23" x14ac:dyDescent="0.25">
      <c r="A56" s="89">
        <v>55</v>
      </c>
      <c r="B56" s="51"/>
      <c r="C56" s="55" t="s">
        <v>210</v>
      </c>
      <c r="D56" s="56" t="s">
        <v>508</v>
      </c>
      <c r="E56" s="111"/>
      <c r="F56" s="111"/>
      <c r="G56" s="110"/>
      <c r="H56" s="110"/>
      <c r="I56" s="110"/>
      <c r="J56" s="110">
        <v>669.92499999999995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2"/>
      <c r="V56" s="112"/>
      <c r="W56" s="112">
        <f t="shared" si="3"/>
        <v>669.92499999999995</v>
      </c>
    </row>
    <row r="57" spans="1:23" x14ac:dyDescent="0.25">
      <c r="A57" s="89">
        <v>56</v>
      </c>
      <c r="B57" s="51"/>
      <c r="C57" s="55" t="s">
        <v>214</v>
      </c>
      <c r="D57" s="56" t="s">
        <v>515</v>
      </c>
      <c r="E57" s="111"/>
      <c r="F57" s="111"/>
      <c r="G57" s="110"/>
      <c r="H57" s="110"/>
      <c r="I57" s="110"/>
      <c r="J57" s="284">
        <v>2940.05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2"/>
      <c r="V57" s="112"/>
      <c r="W57" s="112">
        <f t="shared" si="3"/>
        <v>2940.05</v>
      </c>
    </row>
    <row r="58" spans="1:23" x14ac:dyDescent="0.25">
      <c r="A58" s="89">
        <v>57</v>
      </c>
      <c r="B58" s="51"/>
      <c r="C58" s="55" t="s">
        <v>214</v>
      </c>
      <c r="D58" s="56" t="s">
        <v>458</v>
      </c>
      <c r="E58" s="111"/>
      <c r="F58" s="111"/>
      <c r="G58" s="110"/>
      <c r="H58" s="110"/>
      <c r="I58" s="110"/>
      <c r="J58" s="110"/>
      <c r="K58" s="110"/>
      <c r="L58" s="110"/>
      <c r="M58" s="110"/>
      <c r="N58" s="110">
        <v>15352.2</v>
      </c>
      <c r="O58" s="110"/>
      <c r="P58" s="110"/>
      <c r="Q58" s="110"/>
      <c r="R58" s="110"/>
      <c r="S58" s="110"/>
      <c r="T58" s="110"/>
      <c r="U58" s="112"/>
      <c r="V58" s="112"/>
      <c r="W58" s="112">
        <f t="shared" si="3"/>
        <v>15352.2</v>
      </c>
    </row>
    <row r="59" spans="1:23" x14ac:dyDescent="0.25">
      <c r="A59" s="89">
        <v>58</v>
      </c>
      <c r="B59" s="51"/>
      <c r="C59" s="55" t="s">
        <v>214</v>
      </c>
      <c r="D59" s="56" t="s">
        <v>461</v>
      </c>
      <c r="E59" s="111"/>
      <c r="F59" s="111"/>
      <c r="G59" s="110"/>
      <c r="H59" s="110"/>
      <c r="I59" s="110"/>
      <c r="J59" s="110"/>
      <c r="K59" s="110"/>
      <c r="L59" s="110"/>
      <c r="M59" s="110"/>
      <c r="N59" s="110">
        <v>9394.2999999999993</v>
      </c>
      <c r="O59" s="110"/>
      <c r="P59" s="110"/>
      <c r="Q59" s="110"/>
      <c r="R59" s="110"/>
      <c r="S59" s="110"/>
      <c r="T59" s="110"/>
      <c r="U59" s="112"/>
      <c r="V59" s="112"/>
      <c r="W59" s="112">
        <f t="shared" si="3"/>
        <v>9394.2999999999993</v>
      </c>
    </row>
    <row r="60" spans="1:23" x14ac:dyDescent="0.25">
      <c r="A60" s="89">
        <v>59</v>
      </c>
      <c r="B60" s="51"/>
      <c r="C60" s="55" t="s">
        <v>214</v>
      </c>
      <c r="D60" s="56" t="s">
        <v>517</v>
      </c>
      <c r="E60" s="111"/>
      <c r="F60" s="111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291">
        <v>37243.444000000003</v>
      </c>
      <c r="U60" s="112"/>
      <c r="V60" s="112"/>
      <c r="W60" s="112">
        <f t="shared" si="3"/>
        <v>37243.444000000003</v>
      </c>
    </row>
    <row r="61" spans="1:23" x14ac:dyDescent="0.25">
      <c r="A61" s="89">
        <v>60</v>
      </c>
      <c r="B61" s="51">
        <v>143</v>
      </c>
      <c r="C61" s="51" t="s">
        <v>210</v>
      </c>
      <c r="D61" s="52" t="s">
        <v>234</v>
      </c>
      <c r="E61" s="111">
        <v>748</v>
      </c>
      <c r="F61" s="111">
        <v>748</v>
      </c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2">
        <f t="shared" si="1"/>
        <v>748</v>
      </c>
      <c r="V61" s="112">
        <f>F61+H61+J61+N61+P61+R61+T61</f>
        <v>748</v>
      </c>
      <c r="W61" s="112">
        <f t="shared" si="3"/>
        <v>748</v>
      </c>
    </row>
    <row r="62" spans="1:23" x14ac:dyDescent="0.25">
      <c r="A62" s="89">
        <v>61</v>
      </c>
      <c r="B62" s="51">
        <v>144</v>
      </c>
      <c r="C62" s="51" t="s">
        <v>210</v>
      </c>
      <c r="D62" s="52" t="s">
        <v>235</v>
      </c>
      <c r="E62" s="111">
        <v>4009</v>
      </c>
      <c r="F62" s="111">
        <v>4009</v>
      </c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2">
        <f t="shared" si="1"/>
        <v>4009</v>
      </c>
      <c r="V62" s="112">
        <f>F62+H62+J62+N62+P62+R62+T62</f>
        <v>4009</v>
      </c>
      <c r="W62" s="112">
        <f t="shared" si="3"/>
        <v>4009</v>
      </c>
    </row>
    <row r="63" spans="1:23" ht="15.75" x14ac:dyDescent="0.25">
      <c r="A63" s="89">
        <v>62</v>
      </c>
      <c r="B63" s="51"/>
      <c r="C63" s="51"/>
      <c r="D63" s="91" t="s">
        <v>236</v>
      </c>
      <c r="E63" s="112">
        <f t="shared" ref="E63:V63" si="4">SUM(E5:E62)</f>
        <v>23257</v>
      </c>
      <c r="F63" s="112">
        <f t="shared" si="4"/>
        <v>23257</v>
      </c>
      <c r="G63" s="112">
        <f t="shared" si="4"/>
        <v>102821</v>
      </c>
      <c r="H63" s="112">
        <f t="shared" si="4"/>
        <v>102821</v>
      </c>
      <c r="I63" s="112">
        <f t="shared" si="4"/>
        <v>299157.57900000003</v>
      </c>
      <c r="J63" s="112">
        <f t="shared" si="4"/>
        <v>318018.89200000005</v>
      </c>
      <c r="K63" s="112">
        <f t="shared" si="4"/>
        <v>15000</v>
      </c>
      <c r="L63" s="112">
        <f t="shared" si="4"/>
        <v>15000</v>
      </c>
      <c r="M63" s="112">
        <f t="shared" si="4"/>
        <v>130742</v>
      </c>
      <c r="N63" s="112">
        <f t="shared" si="4"/>
        <v>156724.10999999999</v>
      </c>
      <c r="O63" s="112">
        <f t="shared" si="4"/>
        <v>307909</v>
      </c>
      <c r="P63" s="112">
        <f t="shared" si="4"/>
        <v>298129.05499999999</v>
      </c>
      <c r="Q63" s="112">
        <f t="shared" si="4"/>
        <v>0</v>
      </c>
      <c r="R63" s="112">
        <f t="shared" si="4"/>
        <v>0</v>
      </c>
      <c r="S63" s="112">
        <f t="shared" si="4"/>
        <v>457973.75299999997</v>
      </c>
      <c r="T63" s="112">
        <f t="shared" si="4"/>
        <v>500994.53700000001</v>
      </c>
      <c r="U63" s="112">
        <f t="shared" si="4"/>
        <v>1336860.3320000002</v>
      </c>
      <c r="V63" s="112">
        <f t="shared" si="4"/>
        <v>1243780.5009999999</v>
      </c>
      <c r="W63" s="112">
        <f>F63+H63+J63+N63+P63+R63+T63+L63</f>
        <v>1414944.594</v>
      </c>
    </row>
    <row r="64" spans="1:23" x14ac:dyDescent="0.25">
      <c r="A64" s="89">
        <v>63</v>
      </c>
      <c r="B64" s="51"/>
      <c r="C64" s="51"/>
      <c r="D64" s="89" t="s">
        <v>237</v>
      </c>
      <c r="E64" s="116">
        <f>SUMIF($C5:$C62,"kötelező",E5:E62)</f>
        <v>20757</v>
      </c>
      <c r="F64" s="116">
        <f>SUMIF($C5:$C62,"kötelező",F5:F62)</f>
        <v>20757</v>
      </c>
      <c r="G64" s="116">
        <f>SUMIF($C5:$C62,"kötelező",G5:G62)</f>
        <v>102821</v>
      </c>
      <c r="H64" s="116">
        <f>SUMIF($C5:$C49,"kötelező",H5:H62)</f>
        <v>102821</v>
      </c>
      <c r="I64" s="116">
        <f>SUMIF($C5:$C62,"kötelező",I5:I62)-7170</f>
        <v>257157.57900000003</v>
      </c>
      <c r="J64" s="116">
        <f>SUMIF($C5:$C62,"kötelező",J5:J62)-7170</f>
        <v>266786.84200000006</v>
      </c>
      <c r="K64" s="116">
        <f t="shared" ref="K64:R64" si="5">SUMIF($C5:$C62,"kötelező",K5:K62)</f>
        <v>0</v>
      </c>
      <c r="L64" s="116">
        <f t="shared" si="5"/>
        <v>0</v>
      </c>
      <c r="M64" s="116">
        <f t="shared" si="5"/>
        <v>114373</v>
      </c>
      <c r="N64" s="116">
        <f t="shared" si="5"/>
        <v>115608.61</v>
      </c>
      <c r="O64" s="116">
        <f t="shared" si="5"/>
        <v>0</v>
      </c>
      <c r="P64" s="116">
        <f t="shared" si="5"/>
        <v>0</v>
      </c>
      <c r="Q64" s="116">
        <f t="shared" si="5"/>
        <v>0</v>
      </c>
      <c r="R64" s="116">
        <f t="shared" si="5"/>
        <v>0</v>
      </c>
      <c r="S64" s="116">
        <f>SUMIF($C5:$C62,"kötelező",S5:S62)-63246.546</f>
        <v>22555.453999999998</v>
      </c>
      <c r="T64" s="116">
        <f>SUMIF($C5:$C62,"kötelező",T5:T62)-59507.35-4239.085</f>
        <v>27832.904999999999</v>
      </c>
      <c r="U64" s="116">
        <f>E64+G64+I64+M64+O64+Q64+S64+K64</f>
        <v>517664.03300000005</v>
      </c>
      <c r="V64" s="116">
        <f>F64+H64+J64+N64+P64+R64+T64</f>
        <v>533806.35700000008</v>
      </c>
      <c r="W64" s="116">
        <f>F64+H64+J64+N64+P64+R64+T64+L64</f>
        <v>533806.35700000008</v>
      </c>
    </row>
    <row r="65" spans="1:25" s="99" customFormat="1" x14ac:dyDescent="0.25">
      <c r="A65" s="89">
        <v>64</v>
      </c>
      <c r="B65" s="51"/>
      <c r="C65" s="51"/>
      <c r="D65" s="89" t="s">
        <v>313</v>
      </c>
      <c r="E65" s="116"/>
      <c r="F65" s="116"/>
      <c r="G65" s="116"/>
      <c r="H65" s="116"/>
      <c r="I65" s="116">
        <v>7170</v>
      </c>
      <c r="J65" s="116">
        <v>7170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>
        <f t="shared" ref="U65:U66" si="6">E65+G65+I65+M65+O65+Q65+S65+K65</f>
        <v>7170</v>
      </c>
      <c r="V65" s="116">
        <v>5525</v>
      </c>
      <c r="W65" s="116">
        <f>F65+H65+J65+N65+P65+R65+T65</f>
        <v>7170</v>
      </c>
      <c r="X65" s="98"/>
      <c r="Y65" s="98"/>
    </row>
    <row r="66" spans="1:25" x14ac:dyDescent="0.25">
      <c r="A66" s="89">
        <v>65</v>
      </c>
      <c r="B66" s="51"/>
      <c r="C66" s="89"/>
      <c r="D66" s="89" t="s">
        <v>238</v>
      </c>
      <c r="E66" s="116">
        <f>SUMIF($C5:$C62,"nem kötelező",E5:E62)</f>
        <v>2500</v>
      </c>
      <c r="F66" s="116">
        <f>SUMIF($C5:$C49,"nem kötelező",F5:F62)</f>
        <v>2500</v>
      </c>
      <c r="G66" s="116">
        <f>SUMIF($D5:$D62,"nem kötelező",G5:G62)</f>
        <v>0</v>
      </c>
      <c r="H66" s="116">
        <f>SUMIF($C5:$C49,"nem kötelező",H5:H62)</f>
        <v>0</v>
      </c>
      <c r="I66" s="116">
        <f>SUMIF($C5:$C49,"nem kötelező",I5:I62)</f>
        <v>34830</v>
      </c>
      <c r="J66" s="116">
        <f>SUMIF($C5:$C62,"nem kötelező",J5:J62)</f>
        <v>44062.05</v>
      </c>
      <c r="K66" s="116">
        <f>SUMIF($C7:$C64,"nem kötelező",K7:K64)</f>
        <v>15000</v>
      </c>
      <c r="L66" s="116">
        <f>SUMIF($C5:$C49,"nem kötelező",L5:L62)</f>
        <v>15000</v>
      </c>
      <c r="M66" s="116">
        <f t="shared" ref="M66:R66" si="7">SUMIF($C5:$C62,"nem kötelező",M5:M62)</f>
        <v>16369</v>
      </c>
      <c r="N66" s="116">
        <f t="shared" si="7"/>
        <v>41115.5</v>
      </c>
      <c r="O66" s="116">
        <f t="shared" si="7"/>
        <v>307909</v>
      </c>
      <c r="P66" s="116">
        <f t="shared" si="7"/>
        <v>298129.05499999999</v>
      </c>
      <c r="Q66" s="116">
        <f t="shared" si="7"/>
        <v>0</v>
      </c>
      <c r="R66" s="116">
        <f t="shared" si="7"/>
        <v>0</v>
      </c>
      <c r="S66" s="116">
        <f>SUMIF($C5:$C62,"nem kötelező",S5:S62)+63246.546</f>
        <v>435418.299</v>
      </c>
      <c r="T66" s="116">
        <f>SUMIF($C5:$C62,"nem kötelező",T5:T62)+59507.35+4239.085</f>
        <v>473161.63199999998</v>
      </c>
      <c r="U66" s="116">
        <f t="shared" si="6"/>
        <v>812026.299</v>
      </c>
      <c r="V66" s="116">
        <f>SUMIF($C5:$C49,"nem kötelező",V5:V62)+92025.911-10610.254</f>
        <v>730102.62899999996</v>
      </c>
      <c r="W66" s="116">
        <f>F66+H66+J66+N66+P66+R66+T66+L66</f>
        <v>873968.23699999996</v>
      </c>
      <c r="X66" s="98"/>
      <c r="Y66" s="98"/>
    </row>
    <row r="67" spans="1:25" x14ac:dyDescent="0.25">
      <c r="A67" s="89">
        <v>66</v>
      </c>
      <c r="B67" s="51"/>
      <c r="C67" s="95"/>
      <c r="D67" s="96" t="s">
        <v>323</v>
      </c>
      <c r="E67" s="117">
        <f>SUM(E68:E70)</f>
        <v>338.1</v>
      </c>
      <c r="F67" s="117">
        <f>SUM(F68:F70)</f>
        <v>338.1</v>
      </c>
      <c r="G67" s="117">
        <f>SUM(G68:G70)</f>
        <v>0</v>
      </c>
      <c r="H67" s="117"/>
      <c r="I67" s="117">
        <f t="shared" ref="I67:V67" si="8">SUM(I68:I70)</f>
        <v>0</v>
      </c>
      <c r="J67" s="117"/>
      <c r="K67" s="117"/>
      <c r="L67" s="117"/>
      <c r="M67" s="117">
        <f>SUM(M68:M70)</f>
        <v>0</v>
      </c>
      <c r="N67" s="117">
        <f>SUM(N68:N70)</f>
        <v>1153.3989999999999</v>
      </c>
      <c r="O67" s="117">
        <f t="shared" si="8"/>
        <v>0</v>
      </c>
      <c r="P67" s="117"/>
      <c r="Q67" s="117">
        <f t="shared" si="8"/>
        <v>0</v>
      </c>
      <c r="R67" s="117"/>
      <c r="S67" s="117">
        <f t="shared" si="8"/>
        <v>0</v>
      </c>
      <c r="T67" s="117">
        <f t="shared" si="8"/>
        <v>371.66399999999999</v>
      </c>
      <c r="U67" s="117">
        <f t="shared" si="8"/>
        <v>338.1</v>
      </c>
      <c r="V67" s="117">
        <f t="shared" si="8"/>
        <v>1863.1629999999998</v>
      </c>
      <c r="W67" s="117">
        <f>SUM(W68:W70)</f>
        <v>1863.1629999999998</v>
      </c>
      <c r="X67" s="98"/>
      <c r="Y67" s="98"/>
    </row>
    <row r="68" spans="1:25" x14ac:dyDescent="0.25">
      <c r="A68" s="89">
        <v>67</v>
      </c>
      <c r="B68" s="51"/>
      <c r="C68" s="51" t="s">
        <v>210</v>
      </c>
      <c r="D68" s="100" t="s">
        <v>239</v>
      </c>
      <c r="E68" s="118">
        <v>338.1</v>
      </c>
      <c r="F68" s="118">
        <v>338.1</v>
      </c>
      <c r="G68" s="118"/>
      <c r="H68" s="118"/>
      <c r="I68" s="118"/>
      <c r="J68" s="118"/>
      <c r="K68" s="118"/>
      <c r="L68" s="118"/>
      <c r="M68" s="118"/>
      <c r="N68" s="118">
        <v>1153.3989999999999</v>
      </c>
      <c r="O68" s="118"/>
      <c r="P68" s="118"/>
      <c r="Q68" s="118"/>
      <c r="R68" s="118"/>
      <c r="S68" s="118"/>
      <c r="T68" s="118">
        <v>371.66399999999999</v>
      </c>
      <c r="U68" s="115">
        <f>E68+G68+I68+M68+O68+Q68+S68</f>
        <v>338.1</v>
      </c>
      <c r="V68" s="115">
        <f>F68+H68+J68+N68+P68+R68+T68</f>
        <v>1863.1629999999998</v>
      </c>
      <c r="W68" s="115">
        <f>F68+H68+J68+N68+P68+R68+T68</f>
        <v>1863.1629999999998</v>
      </c>
      <c r="X68" s="98"/>
      <c r="Y68" s="98"/>
    </row>
    <row r="69" spans="1:25" s="99" customFormat="1" x14ac:dyDescent="0.25">
      <c r="A69" s="89">
        <v>68</v>
      </c>
      <c r="B69" s="51"/>
      <c r="C69" s="51" t="s">
        <v>214</v>
      </c>
      <c r="D69" s="100" t="s">
        <v>240</v>
      </c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5">
        <f t="shared" ref="U69:U70" si="9">E69+G69+I69+M69+O69+Q69+S69</f>
        <v>0</v>
      </c>
      <c r="V69" s="101"/>
      <c r="W69" s="115">
        <f t="shared" ref="W69:W70" si="10">F69+H69+J69+N69+P69+R69+T69</f>
        <v>0</v>
      </c>
      <c r="X69" s="98"/>
      <c r="Y69" s="98"/>
    </row>
    <row r="70" spans="1:25" x14ac:dyDescent="0.25">
      <c r="A70" s="89">
        <v>69</v>
      </c>
      <c r="B70" s="51"/>
      <c r="C70" s="51" t="s">
        <v>322</v>
      </c>
      <c r="D70" s="100" t="s">
        <v>313</v>
      </c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5">
        <f t="shared" si="9"/>
        <v>0</v>
      </c>
      <c r="V70" s="101"/>
      <c r="W70" s="115">
        <f t="shared" si="10"/>
        <v>0</v>
      </c>
      <c r="X70" s="98"/>
      <c r="Y70" s="98"/>
    </row>
    <row r="71" spans="1:25" x14ac:dyDescent="0.25">
      <c r="A71" s="89">
        <v>70</v>
      </c>
      <c r="B71" s="51"/>
      <c r="C71" s="95"/>
      <c r="D71" s="96" t="s">
        <v>241</v>
      </c>
      <c r="E71" s="117">
        <f>SUM(E72:E73)</f>
        <v>305.10000000000002</v>
      </c>
      <c r="F71" s="117">
        <f>SUM(F72:F73)</f>
        <v>305.10000000000002</v>
      </c>
      <c r="G71" s="117">
        <f t="shared" ref="G71" si="11">SUM(G72:G73)</f>
        <v>0</v>
      </c>
      <c r="H71" s="117">
        <f t="shared" ref="H71:V71" si="12">SUM(H72:H73)</f>
        <v>0</v>
      </c>
      <c r="I71" s="117">
        <f t="shared" si="12"/>
        <v>0</v>
      </c>
      <c r="J71" s="117">
        <f t="shared" si="12"/>
        <v>0</v>
      </c>
      <c r="K71" s="117">
        <f t="shared" si="12"/>
        <v>0</v>
      </c>
      <c r="L71" s="117">
        <f t="shared" si="12"/>
        <v>0</v>
      </c>
      <c r="M71" s="117">
        <f t="shared" si="12"/>
        <v>0</v>
      </c>
      <c r="N71" s="117">
        <f t="shared" si="12"/>
        <v>0</v>
      </c>
      <c r="O71" s="117">
        <f t="shared" si="12"/>
        <v>0</v>
      </c>
      <c r="P71" s="117">
        <f t="shared" si="12"/>
        <v>0</v>
      </c>
      <c r="Q71" s="117">
        <f t="shared" si="12"/>
        <v>0</v>
      </c>
      <c r="R71" s="117">
        <f t="shared" si="12"/>
        <v>0</v>
      </c>
      <c r="S71" s="117">
        <f t="shared" si="12"/>
        <v>0</v>
      </c>
      <c r="T71" s="117">
        <f t="shared" si="12"/>
        <v>0</v>
      </c>
      <c r="U71" s="117">
        <f t="shared" si="12"/>
        <v>305.10000000000002</v>
      </c>
      <c r="V71" s="117">
        <f t="shared" si="12"/>
        <v>305.10000000000002</v>
      </c>
      <c r="W71" s="117">
        <f>SUM(W72:W73)</f>
        <v>305.10000000000002</v>
      </c>
      <c r="X71" s="98"/>
      <c r="Y71" s="98"/>
    </row>
    <row r="72" spans="1:25" s="99" customFormat="1" x14ac:dyDescent="0.25">
      <c r="A72" s="89">
        <v>71</v>
      </c>
      <c r="B72" s="51"/>
      <c r="C72" s="51" t="s">
        <v>210</v>
      </c>
      <c r="D72" s="100" t="s">
        <v>239</v>
      </c>
      <c r="E72" s="118">
        <v>305.10000000000002</v>
      </c>
      <c r="F72" s="118">
        <v>305.10000000000002</v>
      </c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>
        <f>E72+G72+I72+K72+M72+O72+Q72+S72</f>
        <v>305.10000000000002</v>
      </c>
      <c r="V72" s="118">
        <f t="shared" ref="V72:V73" si="13">F72+H72+J72+L72+N72+P72+R72+T72</f>
        <v>305.10000000000002</v>
      </c>
      <c r="W72" s="118">
        <f>F72+H72+J72+L72+N72+P72+R72+T72</f>
        <v>305.10000000000002</v>
      </c>
      <c r="X72" s="98"/>
      <c r="Y72" s="98"/>
    </row>
    <row r="73" spans="1:25" x14ac:dyDescent="0.25">
      <c r="A73" s="89">
        <v>72</v>
      </c>
      <c r="B73" s="51"/>
      <c r="C73" s="51" t="s">
        <v>214</v>
      </c>
      <c r="D73" s="100" t="s">
        <v>240</v>
      </c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>
        <f>E73+G73+I73+K73+M73+O73+Q73+S73</f>
        <v>0</v>
      </c>
      <c r="V73" s="118">
        <f t="shared" si="13"/>
        <v>0</v>
      </c>
      <c r="W73" s="118">
        <f>F73+H73+J73+L73+N73+P73+R73+T73</f>
        <v>0</v>
      </c>
      <c r="X73" s="98"/>
      <c r="Y73" s="98"/>
    </row>
    <row r="74" spans="1:25" x14ac:dyDescent="0.25">
      <c r="A74" s="89">
        <v>73</v>
      </c>
      <c r="B74" s="51"/>
      <c r="C74" s="95"/>
      <c r="D74" s="96" t="s">
        <v>242</v>
      </c>
      <c r="E74" s="117">
        <f>E75+E76</f>
        <v>32438</v>
      </c>
      <c r="F74" s="117">
        <f>F75+F76</f>
        <v>32438</v>
      </c>
      <c r="G74" s="117">
        <f t="shared" ref="G74" si="14">G75+G76</f>
        <v>0</v>
      </c>
      <c r="H74" s="117">
        <f t="shared" ref="H74:T74" si="15">H75+H76</f>
        <v>0</v>
      </c>
      <c r="I74" s="117">
        <f t="shared" si="15"/>
        <v>0</v>
      </c>
      <c r="J74" s="117">
        <f t="shared" si="15"/>
        <v>0</v>
      </c>
      <c r="K74" s="117">
        <f t="shared" si="15"/>
        <v>0</v>
      </c>
      <c r="L74" s="117">
        <f t="shared" si="15"/>
        <v>0</v>
      </c>
      <c r="M74" s="117">
        <f t="shared" si="15"/>
        <v>966</v>
      </c>
      <c r="N74" s="117">
        <f t="shared" si="15"/>
        <v>966</v>
      </c>
      <c r="O74" s="117">
        <f t="shared" si="15"/>
        <v>0</v>
      </c>
      <c r="P74" s="117">
        <f t="shared" si="15"/>
        <v>0</v>
      </c>
      <c r="Q74" s="117">
        <f t="shared" si="15"/>
        <v>0</v>
      </c>
      <c r="R74" s="117">
        <f t="shared" si="15"/>
        <v>0</v>
      </c>
      <c r="S74" s="117">
        <f t="shared" si="15"/>
        <v>0</v>
      </c>
      <c r="T74" s="117">
        <f t="shared" si="15"/>
        <v>483.49900000000002</v>
      </c>
      <c r="U74" s="117">
        <f>SUM(U75:U76)</f>
        <v>33404</v>
      </c>
      <c r="V74" s="117">
        <f t="shared" ref="V74:W74" si="16">SUM(V75:V76)</f>
        <v>33887.498999999996</v>
      </c>
      <c r="W74" s="117">
        <f t="shared" si="16"/>
        <v>33887.498999999996</v>
      </c>
      <c r="X74" s="98"/>
      <c r="Y74" s="98"/>
    </row>
    <row r="75" spans="1:25" s="99" customFormat="1" x14ac:dyDescent="0.25">
      <c r="A75" s="89">
        <v>74</v>
      </c>
      <c r="B75" s="51"/>
      <c r="C75" s="51" t="s">
        <v>210</v>
      </c>
      <c r="D75" s="100" t="s">
        <v>239</v>
      </c>
      <c r="E75" s="118">
        <v>4857</v>
      </c>
      <c r="F75" s="118">
        <v>4857</v>
      </c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5">
        <f>E75+G75+I75+M75+O75+Q75+S75</f>
        <v>4857</v>
      </c>
      <c r="V75" s="115">
        <f>F75+H75+J75+N75+P75+R75+T75</f>
        <v>4857</v>
      </c>
      <c r="W75" s="115">
        <f>F75+H75+J75+N75+P75+R75+T75</f>
        <v>4857</v>
      </c>
      <c r="X75" s="98"/>
      <c r="Y75" s="98"/>
    </row>
    <row r="76" spans="1:25" x14ac:dyDescent="0.25">
      <c r="A76" s="89">
        <v>75</v>
      </c>
      <c r="B76" s="51"/>
      <c r="C76" s="51" t="s">
        <v>214</v>
      </c>
      <c r="D76" s="100" t="s">
        <v>240</v>
      </c>
      <c r="E76" s="118">
        <v>27581</v>
      </c>
      <c r="F76" s="118">
        <v>27581</v>
      </c>
      <c r="G76" s="118"/>
      <c r="H76" s="118"/>
      <c r="I76" s="118"/>
      <c r="J76" s="118"/>
      <c r="K76" s="118"/>
      <c r="L76" s="118"/>
      <c r="M76" s="118">
        <v>966</v>
      </c>
      <c r="N76" s="118">
        <v>966</v>
      </c>
      <c r="O76" s="118"/>
      <c r="P76" s="118"/>
      <c r="Q76" s="118"/>
      <c r="R76" s="118"/>
      <c r="S76" s="118"/>
      <c r="T76" s="118">
        <v>483.49900000000002</v>
      </c>
      <c r="U76" s="115">
        <f>E76+G76+I76+M76+O76+Q76+S76</f>
        <v>28547</v>
      </c>
      <c r="V76" s="115">
        <f>F76+H76+J76+N76+P76+R76+T76</f>
        <v>29030.499</v>
      </c>
      <c r="W76" s="115">
        <f>F76+H76+J76+N76+P76+R76+T76</f>
        <v>29030.499</v>
      </c>
      <c r="X76" s="98"/>
      <c r="Y76" s="98"/>
    </row>
    <row r="77" spans="1:25" x14ac:dyDescent="0.25">
      <c r="A77" s="89">
        <v>76</v>
      </c>
      <c r="B77" s="51"/>
      <c r="C77" s="95"/>
      <c r="D77" s="96" t="s">
        <v>351</v>
      </c>
      <c r="E77" s="117">
        <f>SUM(E78:E79)</f>
        <v>5235.1000000000004</v>
      </c>
      <c r="F77" s="117">
        <f t="shared" ref="F77:P77" si="17">SUM(F78:F79)</f>
        <v>5235.1000000000004</v>
      </c>
      <c r="G77" s="117">
        <f t="shared" si="17"/>
        <v>0</v>
      </c>
      <c r="H77" s="117">
        <f t="shared" si="17"/>
        <v>0</v>
      </c>
      <c r="I77" s="117">
        <f t="shared" si="17"/>
        <v>0</v>
      </c>
      <c r="J77" s="117">
        <f t="shared" si="17"/>
        <v>0</v>
      </c>
      <c r="K77" s="117">
        <f t="shared" si="17"/>
        <v>0</v>
      </c>
      <c r="L77" s="117">
        <f t="shared" si="17"/>
        <v>0</v>
      </c>
      <c r="M77" s="117">
        <f t="shared" si="17"/>
        <v>17162</v>
      </c>
      <c r="N77" s="117">
        <f t="shared" si="17"/>
        <v>21052.824000000001</v>
      </c>
      <c r="O77" s="117">
        <f t="shared" si="17"/>
        <v>0</v>
      </c>
      <c r="P77" s="117">
        <f t="shared" si="17"/>
        <v>0</v>
      </c>
      <c r="Q77" s="117">
        <f t="shared" ref="Q77:W77" si="18">SUM(Q78:Q79)</f>
        <v>210</v>
      </c>
      <c r="R77" s="117">
        <f t="shared" si="18"/>
        <v>210</v>
      </c>
      <c r="S77" s="117">
        <f t="shared" si="18"/>
        <v>0</v>
      </c>
      <c r="T77" s="117">
        <f t="shared" si="18"/>
        <v>8.4</v>
      </c>
      <c r="U77" s="117">
        <f>SUM(U78:U79)</f>
        <v>22607.1</v>
      </c>
      <c r="V77" s="117">
        <f t="shared" si="18"/>
        <v>26506.324000000001</v>
      </c>
      <c r="W77" s="117">
        <f t="shared" si="18"/>
        <v>26506.324000000001</v>
      </c>
      <c r="X77" s="98"/>
      <c r="Y77" s="98"/>
    </row>
    <row r="78" spans="1:25" x14ac:dyDescent="0.25">
      <c r="A78" s="89">
        <v>77</v>
      </c>
      <c r="B78" s="51"/>
      <c r="C78" s="51" t="s">
        <v>210</v>
      </c>
      <c r="D78" s="100" t="s">
        <v>239</v>
      </c>
      <c r="E78" s="118">
        <v>1330.1</v>
      </c>
      <c r="F78" s="118">
        <v>1330.1</v>
      </c>
      <c r="G78" s="118"/>
      <c r="H78" s="118"/>
      <c r="I78" s="118"/>
      <c r="J78" s="118"/>
      <c r="K78" s="118"/>
      <c r="L78" s="118"/>
      <c r="M78" s="118">
        <v>2004</v>
      </c>
      <c r="N78" s="118">
        <v>3439</v>
      </c>
      <c r="O78" s="118"/>
      <c r="P78" s="118"/>
      <c r="Q78" s="118"/>
      <c r="R78" s="118"/>
      <c r="S78" s="118"/>
      <c r="T78" s="118">
        <v>8.4</v>
      </c>
      <c r="U78" s="115">
        <f>E78+G78+I78+M78+O78+Q78+S78</f>
        <v>3334.1</v>
      </c>
      <c r="V78" s="115">
        <f t="shared" ref="V78" si="19">F78+H78+J78+N78+P78+R78+T78</f>
        <v>4777.5</v>
      </c>
      <c r="W78" s="115">
        <f>F78+H78+J78+L78+N78+P78+R78+T78</f>
        <v>4777.5</v>
      </c>
      <c r="X78" s="98"/>
      <c r="Y78" s="98"/>
    </row>
    <row r="79" spans="1:25" s="99" customFormat="1" x14ac:dyDescent="0.25">
      <c r="A79" s="89">
        <v>78</v>
      </c>
      <c r="B79" s="51"/>
      <c r="C79" s="51" t="s">
        <v>214</v>
      </c>
      <c r="D79" s="100" t="s">
        <v>240</v>
      </c>
      <c r="E79" s="118">
        <v>3905</v>
      </c>
      <c r="F79" s="118">
        <v>3905</v>
      </c>
      <c r="G79" s="118"/>
      <c r="H79" s="118"/>
      <c r="I79" s="118"/>
      <c r="J79" s="118"/>
      <c r="K79" s="118"/>
      <c r="L79" s="118"/>
      <c r="M79" s="118">
        <v>15158</v>
      </c>
      <c r="N79" s="118">
        <v>17613.824000000001</v>
      </c>
      <c r="O79" s="118"/>
      <c r="P79" s="118"/>
      <c r="Q79" s="118">
        <v>210</v>
      </c>
      <c r="R79" s="118">
        <v>210</v>
      </c>
      <c r="S79" s="118"/>
      <c r="T79" s="118"/>
      <c r="U79" s="115">
        <f>E79+G79+I79+M79+O79+Q79+S79</f>
        <v>19273</v>
      </c>
      <c r="V79" s="115">
        <f>F79+H79+J79+N79+P79+R79+T79</f>
        <v>21728.824000000001</v>
      </c>
      <c r="W79" s="115">
        <f>F79+H79+J79+L79+N79+P79+R79+T79</f>
        <v>21728.824000000001</v>
      </c>
      <c r="X79" s="98"/>
      <c r="Y79" s="98"/>
    </row>
    <row r="80" spans="1:25" ht="15.75" x14ac:dyDescent="0.25">
      <c r="A80" s="89">
        <v>79</v>
      </c>
      <c r="B80" s="51"/>
      <c r="C80" s="95"/>
      <c r="D80" s="91" t="s">
        <v>243</v>
      </c>
      <c r="E80" s="117">
        <f t="shared" ref="E80:J80" si="20">E67+E71+E74+E63+E77</f>
        <v>61573.299999999996</v>
      </c>
      <c r="F80" s="117">
        <f t="shared" si="20"/>
        <v>61573.299999999996</v>
      </c>
      <c r="G80" s="117">
        <f t="shared" si="20"/>
        <v>102821</v>
      </c>
      <c r="H80" s="117">
        <f t="shared" si="20"/>
        <v>102821</v>
      </c>
      <c r="I80" s="117">
        <f t="shared" si="20"/>
        <v>299157.57900000003</v>
      </c>
      <c r="J80" s="117">
        <f t="shared" si="20"/>
        <v>318018.89200000005</v>
      </c>
      <c r="K80" s="117">
        <f t="shared" ref="K80:L80" si="21">K67+K71+K74+K63+K77</f>
        <v>15000</v>
      </c>
      <c r="L80" s="117">
        <f t="shared" si="21"/>
        <v>15000</v>
      </c>
      <c r="M80" s="117">
        <f t="shared" ref="M80:V80" si="22">M67+M71+M74+M63+M77</f>
        <v>148870</v>
      </c>
      <c r="N80" s="117">
        <f t="shared" si="22"/>
        <v>179896.33299999998</v>
      </c>
      <c r="O80" s="117">
        <f t="shared" si="22"/>
        <v>307909</v>
      </c>
      <c r="P80" s="117">
        <f t="shared" si="22"/>
        <v>298129.05499999999</v>
      </c>
      <c r="Q80" s="117">
        <f t="shared" si="22"/>
        <v>210</v>
      </c>
      <c r="R80" s="117">
        <f t="shared" si="22"/>
        <v>210</v>
      </c>
      <c r="S80" s="117">
        <f t="shared" si="22"/>
        <v>457973.75299999997</v>
      </c>
      <c r="T80" s="117">
        <f t="shared" si="22"/>
        <v>501858.10000000003</v>
      </c>
      <c r="U80" s="117">
        <f t="shared" si="22"/>
        <v>1393514.6320000002</v>
      </c>
      <c r="V80" s="117">
        <f t="shared" si="22"/>
        <v>1306342.5870000001</v>
      </c>
      <c r="W80" s="117">
        <f>W67+W71+W74+W63+W77</f>
        <v>1477506.6800000002</v>
      </c>
    </row>
    <row r="81" spans="1:23" ht="15.75" x14ac:dyDescent="0.25">
      <c r="A81" s="89">
        <v>80</v>
      </c>
      <c r="B81" s="51"/>
      <c r="C81" s="95"/>
      <c r="D81" s="91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97"/>
      <c r="W81" s="163"/>
    </row>
    <row r="82" spans="1:23" x14ac:dyDescent="0.25">
      <c r="A82" s="89">
        <v>81</v>
      </c>
      <c r="B82" s="51"/>
      <c r="C82" s="89"/>
      <c r="D82" s="89" t="s">
        <v>244</v>
      </c>
      <c r="E82" s="116">
        <f t="shared" ref="E82:J82" si="23">E64+E68+E72+E75+E78</f>
        <v>27587.299999999996</v>
      </c>
      <c r="F82" s="116">
        <f t="shared" si="23"/>
        <v>27587.299999999996</v>
      </c>
      <c r="G82" s="116">
        <f t="shared" si="23"/>
        <v>102821</v>
      </c>
      <c r="H82" s="116">
        <f t="shared" si="23"/>
        <v>102821</v>
      </c>
      <c r="I82" s="116">
        <f t="shared" si="23"/>
        <v>257157.57900000003</v>
      </c>
      <c r="J82" s="116">
        <f t="shared" si="23"/>
        <v>266786.84200000006</v>
      </c>
      <c r="K82" s="116">
        <f t="shared" ref="K82" si="24">K64+K68+K72+K75+K78</f>
        <v>0</v>
      </c>
      <c r="L82" s="116">
        <f>L64+L68+L72+L75+L78</f>
        <v>0</v>
      </c>
      <c r="M82" s="116">
        <f t="shared" ref="M82:V82" si="25">M64+M68+M72+M75+M78</f>
        <v>116377</v>
      </c>
      <c r="N82" s="116">
        <f t="shared" si="25"/>
        <v>120201.00900000001</v>
      </c>
      <c r="O82" s="116">
        <f t="shared" si="25"/>
        <v>0</v>
      </c>
      <c r="P82" s="116">
        <f t="shared" si="25"/>
        <v>0</v>
      </c>
      <c r="Q82" s="116">
        <f t="shared" si="25"/>
        <v>0</v>
      </c>
      <c r="R82" s="116">
        <f t="shared" si="25"/>
        <v>0</v>
      </c>
      <c r="S82" s="116">
        <f t="shared" si="25"/>
        <v>22555.453999999998</v>
      </c>
      <c r="T82" s="116">
        <f t="shared" si="25"/>
        <v>28212.969000000001</v>
      </c>
      <c r="U82" s="116">
        <f t="shared" si="25"/>
        <v>526498.33299999998</v>
      </c>
      <c r="V82" s="116">
        <f t="shared" si="25"/>
        <v>545609.12</v>
      </c>
      <c r="W82" s="116">
        <f>W64+W68+W72+W75+W78</f>
        <v>545609.12</v>
      </c>
    </row>
    <row r="83" spans="1:23" s="99" customFormat="1" x14ac:dyDescent="0.25">
      <c r="A83" s="89">
        <v>82</v>
      </c>
      <c r="B83" s="51"/>
      <c r="C83" s="89"/>
      <c r="D83" s="89" t="s">
        <v>245</v>
      </c>
      <c r="E83" s="116">
        <f t="shared" ref="E83:J83" si="26">E66+E69+E73+E76+E79</f>
        <v>33986</v>
      </c>
      <c r="F83" s="116">
        <f t="shared" si="26"/>
        <v>33986</v>
      </c>
      <c r="G83" s="116">
        <f t="shared" si="26"/>
        <v>0</v>
      </c>
      <c r="H83" s="116">
        <f t="shared" si="26"/>
        <v>0</v>
      </c>
      <c r="I83" s="116">
        <f t="shared" si="26"/>
        <v>34830</v>
      </c>
      <c r="J83" s="116">
        <f t="shared" si="26"/>
        <v>44062.05</v>
      </c>
      <c r="K83" s="116">
        <f t="shared" ref="K83:L83" si="27">K66+K69+K73+K76+K79</f>
        <v>15000</v>
      </c>
      <c r="L83" s="116">
        <f t="shared" si="27"/>
        <v>15000</v>
      </c>
      <c r="M83" s="116">
        <f t="shared" ref="M83:R83" si="28">M66+M69+M73+M76+M79</f>
        <v>32493</v>
      </c>
      <c r="N83" s="116">
        <f t="shared" si="28"/>
        <v>59695.324000000001</v>
      </c>
      <c r="O83" s="116">
        <f t="shared" si="28"/>
        <v>307909</v>
      </c>
      <c r="P83" s="116">
        <f t="shared" si="28"/>
        <v>298129.05499999999</v>
      </c>
      <c r="Q83" s="116">
        <f t="shared" si="28"/>
        <v>210</v>
      </c>
      <c r="R83" s="116">
        <f t="shared" si="28"/>
        <v>210</v>
      </c>
      <c r="S83" s="116">
        <f>S66</f>
        <v>435418.299</v>
      </c>
      <c r="T83" s="116">
        <f>T66+T76</f>
        <v>473645.13099999999</v>
      </c>
      <c r="U83" s="116">
        <f>U66+U69+U73+U76+U79</f>
        <v>859846.299</v>
      </c>
      <c r="V83" s="116">
        <f>V66+V69+V73+V76+V79</f>
        <v>780861.95199999993</v>
      </c>
      <c r="W83" s="116">
        <f>W66+W69+W73+W76+W79</f>
        <v>924727.55999999994</v>
      </c>
    </row>
    <row r="84" spans="1:23" x14ac:dyDescent="0.25">
      <c r="A84" s="89">
        <v>83</v>
      </c>
      <c r="B84" s="51"/>
      <c r="C84" s="89"/>
      <c r="D84" s="89" t="s">
        <v>356</v>
      </c>
      <c r="E84" s="116">
        <f>E70</f>
        <v>0</v>
      </c>
      <c r="F84" s="116">
        <f>F70</f>
        <v>0</v>
      </c>
      <c r="G84" s="116">
        <f>G70</f>
        <v>0</v>
      </c>
      <c r="H84" s="116">
        <f>H70</f>
        <v>0</v>
      </c>
      <c r="I84" s="116">
        <f>I70+I65</f>
        <v>7170</v>
      </c>
      <c r="J84" s="116">
        <f>J70+J65</f>
        <v>7170</v>
      </c>
      <c r="K84" s="116">
        <f t="shared" ref="K84:L84" si="29">K70+K65</f>
        <v>0</v>
      </c>
      <c r="L84" s="116">
        <f t="shared" si="29"/>
        <v>0</v>
      </c>
      <c r="M84" s="116">
        <f t="shared" ref="M84:T84" si="30">M70</f>
        <v>0</v>
      </c>
      <c r="N84" s="116">
        <f t="shared" si="30"/>
        <v>0</v>
      </c>
      <c r="O84" s="116">
        <f t="shared" si="30"/>
        <v>0</v>
      </c>
      <c r="P84" s="116">
        <f t="shared" si="30"/>
        <v>0</v>
      </c>
      <c r="Q84" s="116">
        <f t="shared" si="30"/>
        <v>0</v>
      </c>
      <c r="R84" s="116">
        <f t="shared" si="30"/>
        <v>0</v>
      </c>
      <c r="S84" s="116">
        <f t="shared" si="30"/>
        <v>0</v>
      </c>
      <c r="T84" s="116">
        <f t="shared" si="30"/>
        <v>0</v>
      </c>
      <c r="U84" s="116">
        <f>U70+U65</f>
        <v>7170</v>
      </c>
      <c r="V84" s="116">
        <f>V70+V65</f>
        <v>5525</v>
      </c>
      <c r="W84" s="116">
        <f>W70+W65</f>
        <v>7170</v>
      </c>
    </row>
    <row r="85" spans="1:23" x14ac:dyDescent="0.25">
      <c r="A85" s="89">
        <v>84</v>
      </c>
      <c r="B85" s="51"/>
      <c r="C85" s="102"/>
      <c r="D85" s="102" t="s">
        <v>246</v>
      </c>
      <c r="E85" s="120">
        <f>SUM(E82:E83)</f>
        <v>61573.299999999996</v>
      </c>
      <c r="F85" s="120">
        <f>SUM(F82:F83)</f>
        <v>61573.299999999996</v>
      </c>
      <c r="G85" s="120">
        <f t="shared" ref="G85" si="31">SUM(G82:G83)</f>
        <v>102821</v>
      </c>
      <c r="H85" s="120">
        <f t="shared" ref="H85" si="32">SUM(H82:H83)</f>
        <v>102821</v>
      </c>
      <c r="I85" s="120">
        <f>SUM(I82:I84)</f>
        <v>299157.57900000003</v>
      </c>
      <c r="J85" s="120">
        <f>SUM(J82:J84)</f>
        <v>318018.89200000005</v>
      </c>
      <c r="K85" s="120">
        <f>SUM(K82:K84)</f>
        <v>15000</v>
      </c>
      <c r="L85" s="120">
        <f t="shared" ref="L85" si="33">SUM(L82:L84)</f>
        <v>15000</v>
      </c>
      <c r="M85" s="120">
        <f t="shared" ref="M85:S85" si="34">SUM(M82:M83)</f>
        <v>148870</v>
      </c>
      <c r="N85" s="120">
        <f t="shared" ref="N85" si="35">SUM(N82:N83)</f>
        <v>179896.33300000001</v>
      </c>
      <c r="O85" s="120">
        <f t="shared" si="34"/>
        <v>307909</v>
      </c>
      <c r="P85" s="120">
        <f t="shared" ref="P85" si="36">SUM(P82:P83)</f>
        <v>298129.05499999999</v>
      </c>
      <c r="Q85" s="120">
        <f t="shared" si="34"/>
        <v>210</v>
      </c>
      <c r="R85" s="120">
        <f t="shared" ref="R85" si="37">SUM(R82:R83)</f>
        <v>210</v>
      </c>
      <c r="S85" s="120">
        <f t="shared" si="34"/>
        <v>457973.75300000003</v>
      </c>
      <c r="T85" s="120">
        <f t="shared" ref="T85" si="38">SUM(T82:T83)</f>
        <v>501858.1</v>
      </c>
      <c r="U85" s="120">
        <f>SUM(U82:U84)</f>
        <v>1393514.632</v>
      </c>
      <c r="V85" s="120">
        <f t="shared" ref="V85:W85" si="39">SUM(V82:V84)</f>
        <v>1331996.0719999999</v>
      </c>
      <c r="W85" s="120">
        <f t="shared" si="39"/>
        <v>1477506.68</v>
      </c>
    </row>
    <row r="88" spans="1:23" x14ac:dyDescent="0.25">
      <c r="O88" s="109" t="s">
        <v>247</v>
      </c>
      <c r="Q88" s="109">
        <v>26133.054</v>
      </c>
    </row>
    <row r="89" spans="1:23" x14ac:dyDescent="0.25">
      <c r="O89" s="109" t="s">
        <v>311</v>
      </c>
      <c r="Q89" s="109">
        <v>6483.085</v>
      </c>
    </row>
    <row r="90" spans="1:23" x14ac:dyDescent="0.25">
      <c r="O90" s="109" t="s">
        <v>248</v>
      </c>
      <c r="Q90" s="109">
        <v>87742.762000000002</v>
      </c>
    </row>
    <row r="91" spans="1:23" x14ac:dyDescent="0.25">
      <c r="O91" s="109" t="s">
        <v>320</v>
      </c>
      <c r="Q91" s="109">
        <f>SUM(Q88:Q90)</f>
        <v>120358.901</v>
      </c>
    </row>
    <row r="92" spans="1:23" x14ac:dyDescent="0.25">
      <c r="O92" s="109" t="s">
        <v>409</v>
      </c>
      <c r="Q92" s="109">
        <v>10610.254000000001</v>
      </c>
    </row>
  </sheetData>
  <mergeCells count="12">
    <mergeCell ref="B13:B31"/>
    <mergeCell ref="Q1:U1"/>
    <mergeCell ref="D2:W2"/>
    <mergeCell ref="E3:F3"/>
    <mergeCell ref="G3:H3"/>
    <mergeCell ref="I3:J3"/>
    <mergeCell ref="M3:N3"/>
    <mergeCell ref="O3:P3"/>
    <mergeCell ref="Q3:R3"/>
    <mergeCell ref="S3:T3"/>
    <mergeCell ref="U3:W3"/>
    <mergeCell ref="K3:L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0"/>
  <sheetViews>
    <sheetView view="pageBreakPreview" zoomScaleNormal="100" zoomScaleSheetLayoutView="100" workbookViewId="0">
      <pane xSplit="3" ySplit="3" topLeftCell="H4" activePane="bottomRight" state="frozen"/>
      <selection pane="topRight" activeCell="D1" sqref="D1"/>
      <selection pane="bottomLeft" activeCell="A4" sqref="A4"/>
      <selection pane="bottomRight" activeCell="K27" sqref="K27"/>
    </sheetView>
  </sheetViews>
  <sheetFormatPr defaultRowHeight="15" x14ac:dyDescent="0.25"/>
  <cols>
    <col min="1" max="1" width="6.140625" style="217" customWidth="1"/>
    <col min="2" max="2" width="15.7109375" style="217" customWidth="1"/>
    <col min="3" max="3" width="31.28515625" style="217" bestFit="1" customWidth="1"/>
    <col min="4" max="5" width="12.7109375" style="217" customWidth="1"/>
    <col min="6" max="7" width="12.85546875" style="217" customWidth="1"/>
    <col min="8" max="9" width="16.140625" style="217" customWidth="1"/>
    <col min="10" max="11" width="18.42578125" style="217" customWidth="1"/>
    <col min="12" max="13" width="13.7109375" style="217" customWidth="1"/>
    <col min="14" max="15" width="16" style="217" customWidth="1"/>
    <col min="16" max="19" width="13.85546875" style="217" customWidth="1"/>
    <col min="20" max="20" width="13.7109375" style="217" customWidth="1"/>
    <col min="21" max="22" width="0" style="217" hidden="1" customWidth="1"/>
    <col min="23" max="23" width="11.28515625" style="217" bestFit="1" customWidth="1"/>
    <col min="24" max="16384" width="9.140625" style="217"/>
  </cols>
  <sheetData>
    <row r="1" spans="1:23" x14ac:dyDescent="0.25">
      <c r="L1" s="361" t="s">
        <v>410</v>
      </c>
      <c r="M1" s="361"/>
      <c r="N1" s="361"/>
      <c r="O1" s="361"/>
      <c r="P1" s="361"/>
      <c r="Q1" s="361"/>
      <c r="R1" s="361"/>
      <c r="S1" s="361"/>
      <c r="T1" s="361"/>
    </row>
    <row r="2" spans="1:23" ht="43.5" customHeight="1" x14ac:dyDescent="0.25">
      <c r="A2" s="218">
        <v>1</v>
      </c>
      <c r="B2" s="218"/>
      <c r="C2" s="365" t="s">
        <v>411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7"/>
    </row>
    <row r="3" spans="1:23" ht="81.75" customHeight="1" x14ac:dyDescent="0.25">
      <c r="A3" s="218">
        <v>2</v>
      </c>
      <c r="B3" s="219" t="s">
        <v>202</v>
      </c>
      <c r="C3" s="220" t="s">
        <v>203</v>
      </c>
      <c r="D3" s="362" t="s">
        <v>158</v>
      </c>
      <c r="E3" s="363"/>
      <c r="F3" s="362" t="s">
        <v>157</v>
      </c>
      <c r="G3" s="363"/>
      <c r="H3" s="362" t="s">
        <v>205</v>
      </c>
      <c r="I3" s="363"/>
      <c r="J3" s="362" t="s">
        <v>206</v>
      </c>
      <c r="K3" s="363"/>
      <c r="L3" s="362" t="s">
        <v>207</v>
      </c>
      <c r="M3" s="363"/>
      <c r="N3" s="362" t="s">
        <v>249</v>
      </c>
      <c r="O3" s="363"/>
      <c r="P3" s="362" t="s">
        <v>250</v>
      </c>
      <c r="Q3" s="363"/>
      <c r="R3" s="362" t="s">
        <v>337</v>
      </c>
      <c r="S3" s="363"/>
      <c r="T3" s="364" t="s">
        <v>208</v>
      </c>
      <c r="U3" s="364"/>
      <c r="V3" s="364"/>
      <c r="W3" s="364"/>
    </row>
    <row r="4" spans="1:23" ht="57" x14ac:dyDescent="0.25">
      <c r="A4" s="218">
        <v>3</v>
      </c>
      <c r="B4" s="218"/>
      <c r="C4" s="221" t="s">
        <v>251</v>
      </c>
      <c r="D4" s="294" t="s">
        <v>412</v>
      </c>
      <c r="E4" s="64" t="s">
        <v>407</v>
      </c>
      <c r="F4" s="294" t="s">
        <v>412</v>
      </c>
      <c r="G4" s="64" t="s">
        <v>407</v>
      </c>
      <c r="H4" s="294" t="s">
        <v>412</v>
      </c>
      <c r="I4" s="64" t="s">
        <v>407</v>
      </c>
      <c r="J4" s="294" t="s">
        <v>412</v>
      </c>
      <c r="K4" s="64" t="s">
        <v>407</v>
      </c>
      <c r="L4" s="294" t="s">
        <v>412</v>
      </c>
      <c r="M4" s="64" t="s">
        <v>407</v>
      </c>
      <c r="N4" s="294" t="s">
        <v>412</v>
      </c>
      <c r="O4" s="64" t="s">
        <v>407</v>
      </c>
      <c r="P4" s="294" t="s">
        <v>412</v>
      </c>
      <c r="Q4" s="64" t="s">
        <v>407</v>
      </c>
      <c r="R4" s="294" t="s">
        <v>412</v>
      </c>
      <c r="S4" s="64" t="s">
        <v>407</v>
      </c>
      <c r="T4" s="294" t="s">
        <v>412</v>
      </c>
      <c r="U4" s="64" t="s">
        <v>407</v>
      </c>
      <c r="V4" s="293" t="s">
        <v>412</v>
      </c>
      <c r="W4" s="64" t="s">
        <v>407</v>
      </c>
    </row>
    <row r="5" spans="1:23" x14ac:dyDescent="0.25">
      <c r="A5" s="218">
        <v>4</v>
      </c>
      <c r="B5" s="218" t="s">
        <v>322</v>
      </c>
      <c r="C5" s="223" t="s">
        <v>313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5">
        <v>7170</v>
      </c>
      <c r="Q5" s="225">
        <v>7170</v>
      </c>
      <c r="R5" s="225"/>
      <c r="S5" s="225"/>
      <c r="T5" s="226">
        <f>D5+F5+H5+J5+L5+P5</f>
        <v>7170</v>
      </c>
      <c r="U5" s="226">
        <f t="shared" ref="U5:V5" si="0">E5+G5+I5+K5+M5+Q5</f>
        <v>7170</v>
      </c>
      <c r="V5" s="226">
        <f t="shared" si="0"/>
        <v>0</v>
      </c>
      <c r="W5" s="226">
        <f>E5+G5+I5+K5+M5+O5+Q5+S5</f>
        <v>7170</v>
      </c>
    </row>
    <row r="6" spans="1:23" x14ac:dyDescent="0.25">
      <c r="A6" s="218"/>
      <c r="B6" s="218" t="s">
        <v>210</v>
      </c>
      <c r="C6" s="223" t="s">
        <v>457</v>
      </c>
      <c r="D6" s="224"/>
      <c r="E6" s="224"/>
      <c r="F6" s="224"/>
      <c r="G6" s="224"/>
      <c r="H6" s="224"/>
      <c r="I6" s="224">
        <f>1153.399</f>
        <v>1153.3989999999999</v>
      </c>
      <c r="J6" s="224"/>
      <c r="K6" s="224"/>
      <c r="L6" s="224"/>
      <c r="M6" s="224"/>
      <c r="N6" s="224"/>
      <c r="O6" s="224"/>
      <c r="P6" s="225"/>
      <c r="Q6" s="225">
        <v>6.601</v>
      </c>
      <c r="R6" s="225"/>
      <c r="S6" s="225"/>
      <c r="T6" s="226"/>
      <c r="U6" s="226"/>
      <c r="V6" s="227"/>
      <c r="W6" s="226">
        <f>E6+G6+I6+K6+M6+O6+Q6+S6</f>
        <v>1160</v>
      </c>
    </row>
    <row r="7" spans="1:23" x14ac:dyDescent="0.25">
      <c r="A7" s="218">
        <v>5</v>
      </c>
      <c r="B7" s="218" t="s">
        <v>210</v>
      </c>
      <c r="C7" s="223" t="s">
        <v>252</v>
      </c>
      <c r="D7" s="225">
        <v>338.1</v>
      </c>
      <c r="E7" s="225">
        <v>338.1</v>
      </c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5">
        <v>73200.899999999994</v>
      </c>
      <c r="Q7" s="225">
        <f>73424.299+8.237</f>
        <v>73432.535999999993</v>
      </c>
      <c r="R7" s="225"/>
      <c r="S7" s="225">
        <v>371.66399999999999</v>
      </c>
      <c r="T7" s="226">
        <f>D7+F7+H7+J7+L7+P7</f>
        <v>73539</v>
      </c>
      <c r="U7" s="228">
        <v>218</v>
      </c>
      <c r="V7" s="229">
        <f>1673+87</f>
        <v>1760</v>
      </c>
      <c r="W7" s="226">
        <f>E7+G7+I7+K7+M7+O7+Q7+S7</f>
        <v>74142.3</v>
      </c>
    </row>
    <row r="8" spans="1:23" ht="15.75" x14ac:dyDescent="0.25">
      <c r="A8" s="218">
        <v>6</v>
      </c>
      <c r="B8" s="218"/>
      <c r="C8" s="221" t="s">
        <v>253</v>
      </c>
      <c r="D8" s="226">
        <f t="shared" ref="D8:T8" si="1">SUM(D5:D7)</f>
        <v>338.1</v>
      </c>
      <c r="E8" s="226">
        <f t="shared" ref="E8" si="2">SUM(E5:E7)</f>
        <v>338.1</v>
      </c>
      <c r="F8" s="226">
        <f t="shared" si="1"/>
        <v>0</v>
      </c>
      <c r="G8" s="226">
        <f t="shared" ref="G8" si="3">SUM(G5:G7)</f>
        <v>0</v>
      </c>
      <c r="H8" s="226">
        <f t="shared" si="1"/>
        <v>0</v>
      </c>
      <c r="I8" s="226">
        <f t="shared" ref="I8" si="4">SUM(I5:I7)</f>
        <v>1153.3989999999999</v>
      </c>
      <c r="J8" s="226">
        <f t="shared" si="1"/>
        <v>0</v>
      </c>
      <c r="K8" s="226">
        <f t="shared" ref="K8" si="5">SUM(K5:K7)</f>
        <v>0</v>
      </c>
      <c r="L8" s="226">
        <f t="shared" si="1"/>
        <v>0</v>
      </c>
      <c r="M8" s="226">
        <f t="shared" ref="M8" si="6">SUM(M5:M7)</f>
        <v>0</v>
      </c>
      <c r="N8" s="226">
        <f t="shared" si="1"/>
        <v>0</v>
      </c>
      <c r="O8" s="226">
        <f t="shared" ref="O8" si="7">SUM(O5:O7)</f>
        <v>0</v>
      </c>
      <c r="P8" s="226">
        <f t="shared" si="1"/>
        <v>80370.899999999994</v>
      </c>
      <c r="Q8" s="226">
        <f t="shared" ref="Q8:S8" si="8">SUM(Q5:Q7)</f>
        <v>80609.136999999988</v>
      </c>
      <c r="R8" s="226">
        <f t="shared" si="8"/>
        <v>0</v>
      </c>
      <c r="S8" s="226">
        <f t="shared" si="8"/>
        <v>371.66399999999999</v>
      </c>
      <c r="T8" s="226">
        <f t="shared" si="1"/>
        <v>80709</v>
      </c>
      <c r="U8" s="226"/>
      <c r="V8" s="227"/>
      <c r="W8" s="226">
        <f>E8+G8+I8+K8+M8+O8+Q8+S8</f>
        <v>82472.299999999988</v>
      </c>
    </row>
    <row r="9" spans="1:23" x14ac:dyDescent="0.25">
      <c r="A9" s="218">
        <v>7</v>
      </c>
      <c r="B9" s="230"/>
      <c r="C9" s="230" t="s">
        <v>254</v>
      </c>
      <c r="D9" s="228">
        <f t="shared" ref="D9:W9" si="9">SUMIF($B5:$B7,"kötelező",D5:D7)</f>
        <v>338.1</v>
      </c>
      <c r="E9" s="228">
        <f t="shared" ref="E9" si="10">SUMIF($B5:$B7,"kötelező",E5:E7)</f>
        <v>338.1</v>
      </c>
      <c r="F9" s="228">
        <f t="shared" si="9"/>
        <v>0</v>
      </c>
      <c r="G9" s="228">
        <f t="shared" ref="G9" si="11">SUMIF($B5:$B7,"kötelező",G5:G7)</f>
        <v>0</v>
      </c>
      <c r="H9" s="228">
        <f t="shared" si="9"/>
        <v>0</v>
      </c>
      <c r="I9" s="228">
        <f t="shared" ref="I9" si="12">SUMIF($B5:$B7,"kötelező",I5:I7)</f>
        <v>1153.3989999999999</v>
      </c>
      <c r="J9" s="228">
        <f t="shared" si="9"/>
        <v>0</v>
      </c>
      <c r="K9" s="228">
        <f t="shared" ref="K9" si="13">SUMIF($B5:$B7,"kötelező",K5:K7)</f>
        <v>0</v>
      </c>
      <c r="L9" s="228">
        <f t="shared" si="9"/>
        <v>0</v>
      </c>
      <c r="M9" s="228">
        <f t="shared" ref="M9" si="14">SUMIF($B5:$B7,"kötelező",M5:M7)</f>
        <v>0</v>
      </c>
      <c r="N9" s="228">
        <f t="shared" si="9"/>
        <v>0</v>
      </c>
      <c r="O9" s="228">
        <f t="shared" ref="O9" si="15">SUMIF($B5:$B7,"kötelező",O5:O7)</f>
        <v>0</v>
      </c>
      <c r="P9" s="228">
        <f t="shared" si="9"/>
        <v>73200.899999999994</v>
      </c>
      <c r="Q9" s="228">
        <f t="shared" ref="Q9:S9" si="16">SUMIF($B5:$B7,"kötelező",Q5:Q7)</f>
        <v>73439.136999999988</v>
      </c>
      <c r="R9" s="228">
        <f t="shared" si="16"/>
        <v>0</v>
      </c>
      <c r="S9" s="228">
        <f t="shared" si="16"/>
        <v>371.66399999999999</v>
      </c>
      <c r="T9" s="228">
        <f t="shared" si="9"/>
        <v>73539</v>
      </c>
      <c r="U9" s="228">
        <f t="shared" si="9"/>
        <v>218</v>
      </c>
      <c r="V9" s="228">
        <f t="shared" si="9"/>
        <v>1760</v>
      </c>
      <c r="W9" s="228">
        <f t="shared" si="9"/>
        <v>75302.3</v>
      </c>
    </row>
    <row r="10" spans="1:23" x14ac:dyDescent="0.25">
      <c r="A10" s="218">
        <v>8</v>
      </c>
      <c r="B10" s="230"/>
      <c r="C10" s="230" t="s">
        <v>321</v>
      </c>
      <c r="D10" s="228">
        <f>SUMIF($B5:$B7,"államigazgatási",D5:D7)</f>
        <v>0</v>
      </c>
      <c r="E10" s="228">
        <f>SUMIF($B5:$B7,"államigazgatási",E5:E7)</f>
        <v>0</v>
      </c>
      <c r="F10" s="228">
        <f t="shared" ref="F10:W10" si="17">SUMIF($B5:$B7,"államigazgatási",F5:F7)</f>
        <v>0</v>
      </c>
      <c r="G10" s="228">
        <f t="shared" ref="G10" si="18">SUMIF($B5:$B7,"államigazgatási",G5:G7)</f>
        <v>0</v>
      </c>
      <c r="H10" s="228">
        <f t="shared" si="17"/>
        <v>0</v>
      </c>
      <c r="I10" s="228">
        <f t="shared" ref="I10" si="19">SUMIF($B5:$B7,"államigazgatási",I5:I7)</f>
        <v>0</v>
      </c>
      <c r="J10" s="228">
        <f t="shared" si="17"/>
        <v>0</v>
      </c>
      <c r="K10" s="228">
        <f t="shared" ref="K10" si="20">SUMIF($B5:$B7,"államigazgatási",K5:K7)</f>
        <v>0</v>
      </c>
      <c r="L10" s="228">
        <f t="shared" si="17"/>
        <v>0</v>
      </c>
      <c r="M10" s="228">
        <f t="shared" ref="M10" si="21">SUMIF($B5:$B7,"államigazgatási",M5:M7)</f>
        <v>0</v>
      </c>
      <c r="N10" s="228">
        <f t="shared" si="17"/>
        <v>0</v>
      </c>
      <c r="O10" s="228">
        <f t="shared" ref="O10" si="22">SUMIF($B5:$B7,"államigazgatási",O5:O7)</f>
        <v>0</v>
      </c>
      <c r="P10" s="228">
        <f t="shared" si="17"/>
        <v>7170</v>
      </c>
      <c r="Q10" s="228">
        <f t="shared" ref="Q10:S10" si="23">SUMIF($B5:$B7,"államigazgatási",Q5:Q7)</f>
        <v>7170</v>
      </c>
      <c r="R10" s="228">
        <f t="shared" si="23"/>
        <v>0</v>
      </c>
      <c r="S10" s="228">
        <f t="shared" si="23"/>
        <v>0</v>
      </c>
      <c r="T10" s="228">
        <f t="shared" si="17"/>
        <v>7170</v>
      </c>
      <c r="U10" s="228">
        <f t="shared" si="17"/>
        <v>7170</v>
      </c>
      <c r="V10" s="228">
        <f t="shared" si="17"/>
        <v>0</v>
      </c>
      <c r="W10" s="228">
        <f t="shared" si="17"/>
        <v>7170</v>
      </c>
    </row>
  </sheetData>
  <mergeCells count="11">
    <mergeCell ref="L1:T1"/>
    <mergeCell ref="R3:S3"/>
    <mergeCell ref="D3:E3"/>
    <mergeCell ref="F3:G3"/>
    <mergeCell ref="H3:I3"/>
    <mergeCell ref="J3:K3"/>
    <mergeCell ref="L3:M3"/>
    <mergeCell ref="N3:O3"/>
    <mergeCell ref="P3:Q3"/>
    <mergeCell ref="T3:W3"/>
    <mergeCell ref="C2:W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0"/>
  <sheetViews>
    <sheetView view="pageBreakPreview" zoomScaleNormal="100" zoomScaleSheetLayoutView="100" workbookViewId="0">
      <selection activeCell="Q12" sqref="Q12"/>
    </sheetView>
  </sheetViews>
  <sheetFormatPr defaultRowHeight="15" x14ac:dyDescent="0.25"/>
  <cols>
    <col min="1" max="1" width="5.28515625" style="231" customWidth="1"/>
    <col min="2" max="2" width="13.28515625" style="231" customWidth="1"/>
    <col min="3" max="3" width="28" style="231" customWidth="1"/>
    <col min="4" max="5" width="11.28515625" style="231" bestFit="1" customWidth="1"/>
    <col min="6" max="6" width="10.85546875" style="231" bestFit="1" customWidth="1"/>
    <col min="7" max="7" width="8.28515625" style="231" bestFit="1" customWidth="1"/>
    <col min="8" max="8" width="10.85546875" style="231" bestFit="1" customWidth="1"/>
    <col min="9" max="9" width="8.28515625" style="231" bestFit="1" customWidth="1"/>
    <col min="10" max="10" width="10.85546875" style="231" bestFit="1" customWidth="1"/>
    <col min="11" max="11" width="8.28515625" style="231" bestFit="1" customWidth="1"/>
    <col min="12" max="12" width="10.85546875" style="231" bestFit="1" customWidth="1"/>
    <col min="13" max="13" width="8.28515625" style="231" bestFit="1" customWidth="1"/>
    <col min="14" max="14" width="10.85546875" style="231" bestFit="1" customWidth="1"/>
    <col min="15" max="15" width="8.28515625" style="231" bestFit="1" customWidth="1"/>
    <col min="16" max="17" width="12.42578125" style="231" bestFit="1" customWidth="1"/>
    <col min="18" max="19" width="8.28515625" style="231" customWidth="1"/>
    <col min="20" max="20" width="16" style="231" customWidth="1"/>
    <col min="21" max="21" width="0" style="233" hidden="1" customWidth="1"/>
    <col min="22" max="22" width="12.42578125" style="231" bestFit="1" customWidth="1"/>
    <col min="23" max="16384" width="9.140625" style="231"/>
  </cols>
  <sheetData>
    <row r="1" spans="1:22" x14ac:dyDescent="0.25">
      <c r="N1" s="217"/>
      <c r="O1" s="217"/>
      <c r="P1" s="217"/>
      <c r="Q1" s="217"/>
      <c r="R1" s="217"/>
      <c r="S1" s="217"/>
      <c r="T1" s="232" t="s">
        <v>413</v>
      </c>
    </row>
    <row r="2" spans="1:22" ht="18.75" x14ac:dyDescent="0.25">
      <c r="A2" s="218">
        <v>1</v>
      </c>
      <c r="B2" s="218"/>
      <c r="C2" s="368" t="s">
        <v>414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70"/>
    </row>
    <row r="3" spans="1:22" ht="57" customHeight="1" x14ac:dyDescent="0.25">
      <c r="A3" s="218">
        <v>2</v>
      </c>
      <c r="B3" s="219" t="s">
        <v>258</v>
      </c>
      <c r="C3" s="221" t="s">
        <v>203</v>
      </c>
      <c r="D3" s="362" t="s">
        <v>158</v>
      </c>
      <c r="E3" s="363"/>
      <c r="F3" s="362" t="s">
        <v>157</v>
      </c>
      <c r="G3" s="363"/>
      <c r="H3" s="362" t="s">
        <v>205</v>
      </c>
      <c r="I3" s="363"/>
      <c r="J3" s="362" t="s">
        <v>206</v>
      </c>
      <c r="K3" s="363"/>
      <c r="L3" s="362" t="s">
        <v>207</v>
      </c>
      <c r="M3" s="363"/>
      <c r="N3" s="362" t="s">
        <v>249</v>
      </c>
      <c r="O3" s="363"/>
      <c r="P3" s="362" t="s">
        <v>250</v>
      </c>
      <c r="Q3" s="363"/>
      <c r="R3" s="362" t="s">
        <v>337</v>
      </c>
      <c r="S3" s="363"/>
      <c r="T3" s="364" t="s">
        <v>208</v>
      </c>
      <c r="U3" s="364"/>
      <c r="V3" s="364"/>
    </row>
    <row r="4" spans="1:22" ht="57" x14ac:dyDescent="0.25">
      <c r="A4" s="218">
        <v>3</v>
      </c>
      <c r="B4" s="234"/>
      <c r="C4" s="221" t="s">
        <v>251</v>
      </c>
      <c r="D4" s="280" t="s">
        <v>412</v>
      </c>
      <c r="E4" s="64" t="s">
        <v>407</v>
      </c>
      <c r="F4" s="280" t="s">
        <v>412</v>
      </c>
      <c r="G4" s="64" t="s">
        <v>407</v>
      </c>
      <c r="H4" s="280" t="s">
        <v>412</v>
      </c>
      <c r="I4" s="64" t="s">
        <v>407</v>
      </c>
      <c r="J4" s="280" t="s">
        <v>412</v>
      </c>
      <c r="K4" s="64" t="s">
        <v>407</v>
      </c>
      <c r="L4" s="280" t="s">
        <v>412</v>
      </c>
      <c r="M4" s="64" t="s">
        <v>407</v>
      </c>
      <c r="N4" s="280" t="s">
        <v>412</v>
      </c>
      <c r="O4" s="64" t="s">
        <v>407</v>
      </c>
      <c r="P4" s="280" t="s">
        <v>412</v>
      </c>
      <c r="Q4" s="64" t="s">
        <v>407</v>
      </c>
      <c r="R4" s="280" t="s">
        <v>412</v>
      </c>
      <c r="S4" s="64" t="s">
        <v>407</v>
      </c>
      <c r="T4" s="280" t="s">
        <v>412</v>
      </c>
      <c r="U4" s="64" t="s">
        <v>407</v>
      </c>
      <c r="V4" s="64" t="s">
        <v>407</v>
      </c>
    </row>
    <row r="5" spans="1:22" x14ac:dyDescent="0.25">
      <c r="A5" s="218">
        <v>4</v>
      </c>
      <c r="B5" s="218" t="s">
        <v>210</v>
      </c>
      <c r="C5" s="223" t="s">
        <v>259</v>
      </c>
      <c r="D5" s="235"/>
      <c r="E5" s="235"/>
      <c r="F5" s="235"/>
      <c r="G5" s="235"/>
      <c r="H5" s="224"/>
      <c r="I5" s="224"/>
      <c r="J5" s="224"/>
      <c r="K5" s="224"/>
      <c r="L5" s="224"/>
      <c r="M5" s="224"/>
      <c r="N5" s="224"/>
      <c r="O5" s="224"/>
      <c r="P5" s="225">
        <v>852</v>
      </c>
      <c r="Q5" s="225">
        <v>852</v>
      </c>
      <c r="R5" s="225"/>
      <c r="S5" s="225"/>
      <c r="T5" s="226">
        <f t="shared" ref="T5:T16" si="0">D5+F5+H5+J5+L5+N5+P5</f>
        <v>852</v>
      </c>
      <c r="U5" s="226">
        <f t="shared" ref="U5" si="1">E5+G5+I5+K5+M5+O5+Q5</f>
        <v>852</v>
      </c>
      <c r="V5" s="226">
        <f>E5+G5+I5+K5+M5+O5+Q5+S5</f>
        <v>852</v>
      </c>
    </row>
    <row r="6" spans="1:22" x14ac:dyDescent="0.25">
      <c r="A6" s="218">
        <v>6</v>
      </c>
      <c r="B6" s="218" t="s">
        <v>210</v>
      </c>
      <c r="C6" s="223" t="s">
        <v>260</v>
      </c>
      <c r="D6" s="235"/>
      <c r="E6" s="235"/>
      <c r="F6" s="235"/>
      <c r="G6" s="235"/>
      <c r="H6" s="224"/>
      <c r="I6" s="224"/>
      <c r="J6" s="224"/>
      <c r="K6" s="224"/>
      <c r="L6" s="224"/>
      <c r="M6" s="224"/>
      <c r="N6" s="224"/>
      <c r="O6" s="224"/>
      <c r="P6" s="225">
        <v>321</v>
      </c>
      <c r="Q6" s="225">
        <v>321</v>
      </c>
      <c r="R6" s="225"/>
      <c r="S6" s="225"/>
      <c r="T6" s="226">
        <f t="shared" si="0"/>
        <v>321</v>
      </c>
      <c r="U6" s="236"/>
      <c r="V6" s="226">
        <f t="shared" ref="V6:V16" si="2">E6+G6+I6+K6+M6+O6+Q6+S6</f>
        <v>321</v>
      </c>
    </row>
    <row r="7" spans="1:22" x14ac:dyDescent="0.25">
      <c r="A7" s="218">
        <v>7</v>
      </c>
      <c r="B7" s="218" t="s">
        <v>214</v>
      </c>
      <c r="C7" s="223" t="s">
        <v>261</v>
      </c>
      <c r="D7" s="235"/>
      <c r="E7" s="235"/>
      <c r="F7" s="235"/>
      <c r="G7" s="235"/>
      <c r="H7" s="224"/>
      <c r="I7" s="224"/>
      <c r="J7" s="224"/>
      <c r="K7" s="224"/>
      <c r="L7" s="224"/>
      <c r="M7" s="224"/>
      <c r="N7" s="224"/>
      <c r="O7" s="224"/>
      <c r="P7" s="225">
        <v>689</v>
      </c>
      <c r="Q7" s="225">
        <f>P7+105.8</f>
        <v>794.8</v>
      </c>
      <c r="R7" s="225"/>
      <c r="S7" s="225"/>
      <c r="T7" s="226">
        <f t="shared" si="0"/>
        <v>689</v>
      </c>
      <c r="U7" s="236">
        <v>13</v>
      </c>
      <c r="V7" s="226">
        <f t="shared" si="2"/>
        <v>794.8</v>
      </c>
    </row>
    <row r="8" spans="1:22" x14ac:dyDescent="0.25">
      <c r="A8" s="218">
        <v>8</v>
      </c>
      <c r="B8" s="218" t="s">
        <v>210</v>
      </c>
      <c r="C8" s="223" t="s">
        <v>262</v>
      </c>
      <c r="D8" s="235"/>
      <c r="E8" s="235"/>
      <c r="F8" s="235"/>
      <c r="G8" s="235"/>
      <c r="H8" s="224"/>
      <c r="I8" s="224"/>
      <c r="J8" s="224"/>
      <c r="K8" s="224"/>
      <c r="L8" s="224"/>
      <c r="M8" s="224"/>
      <c r="N8" s="224"/>
      <c r="O8" s="224"/>
      <c r="P8" s="225">
        <v>9538</v>
      </c>
      <c r="Q8" s="225">
        <f>9696+84.347</f>
        <v>9780.3469999999998</v>
      </c>
      <c r="R8" s="225"/>
      <c r="S8" s="225"/>
      <c r="T8" s="226">
        <f t="shared" si="0"/>
        <v>9538</v>
      </c>
      <c r="U8" s="236"/>
      <c r="V8" s="226">
        <f t="shared" si="2"/>
        <v>9780.3469999999998</v>
      </c>
    </row>
    <row r="9" spans="1:22" x14ac:dyDescent="0.25">
      <c r="A9" s="218">
        <v>9</v>
      </c>
      <c r="B9" s="218" t="s">
        <v>210</v>
      </c>
      <c r="C9" s="223" t="s">
        <v>263</v>
      </c>
      <c r="D9" s="235"/>
      <c r="E9" s="235"/>
      <c r="F9" s="235"/>
      <c r="G9" s="235"/>
      <c r="H9" s="224"/>
      <c r="I9" s="224"/>
      <c r="J9" s="224"/>
      <c r="K9" s="224"/>
      <c r="L9" s="224"/>
      <c r="M9" s="224"/>
      <c r="N9" s="224"/>
      <c r="O9" s="224"/>
      <c r="P9" s="225">
        <v>600</v>
      </c>
      <c r="Q9" s="225">
        <v>600</v>
      </c>
      <c r="R9" s="225"/>
      <c r="S9" s="225"/>
      <c r="T9" s="226">
        <f t="shared" si="0"/>
        <v>600</v>
      </c>
      <c r="U9" s="236"/>
      <c r="V9" s="226">
        <f t="shared" si="2"/>
        <v>600</v>
      </c>
    </row>
    <row r="10" spans="1:22" x14ac:dyDescent="0.25">
      <c r="A10" s="218">
        <v>10</v>
      </c>
      <c r="B10" s="218" t="s">
        <v>214</v>
      </c>
      <c r="C10" s="223" t="s">
        <v>264</v>
      </c>
      <c r="D10" s="237">
        <v>26151</v>
      </c>
      <c r="E10" s="237">
        <v>26151</v>
      </c>
      <c r="F10" s="237"/>
      <c r="G10" s="237"/>
      <c r="H10" s="224">
        <v>966</v>
      </c>
      <c r="I10" s="224">
        <v>966</v>
      </c>
      <c r="J10" s="224"/>
      <c r="K10" s="224"/>
      <c r="L10" s="224"/>
      <c r="M10" s="224"/>
      <c r="N10" s="224"/>
      <c r="O10" s="224"/>
      <c r="P10" s="225">
        <v>60487</v>
      </c>
      <c r="Q10" s="287">
        <f>60487+6292+210</f>
        <v>66989</v>
      </c>
      <c r="R10" s="225"/>
      <c r="S10" s="225">
        <v>483.49900000000002</v>
      </c>
      <c r="T10" s="226">
        <f>D10+F10+H10+J10+L10+N10+P10</f>
        <v>87604</v>
      </c>
      <c r="U10" s="226">
        <f t="shared" ref="U10" si="3">E10+G10+I10+K10+M10+O10+Q10</f>
        <v>94106</v>
      </c>
      <c r="V10" s="226">
        <f t="shared" si="2"/>
        <v>94589.498999999996</v>
      </c>
    </row>
    <row r="11" spans="1:22" x14ac:dyDescent="0.25">
      <c r="A11" s="218">
        <v>11</v>
      </c>
      <c r="B11" s="218" t="s">
        <v>210</v>
      </c>
      <c r="C11" s="223" t="s">
        <v>265</v>
      </c>
      <c r="D11" s="235"/>
      <c r="E11" s="235"/>
      <c r="F11" s="235"/>
      <c r="G11" s="235"/>
      <c r="H11" s="224"/>
      <c r="I11" s="224"/>
      <c r="J11" s="224"/>
      <c r="K11" s="224"/>
      <c r="L11" s="224"/>
      <c r="M11" s="224"/>
      <c r="N11" s="224"/>
      <c r="O11" s="224"/>
      <c r="P11" s="225">
        <v>10637</v>
      </c>
      <c r="Q11" s="225">
        <f>13166+28.971</f>
        <v>13194.971</v>
      </c>
      <c r="R11" s="225"/>
      <c r="S11" s="225"/>
      <c r="T11" s="226">
        <f t="shared" si="0"/>
        <v>10637</v>
      </c>
      <c r="U11" s="236">
        <v>4</v>
      </c>
      <c r="V11" s="226">
        <f t="shared" si="2"/>
        <v>13194.971</v>
      </c>
    </row>
    <row r="12" spans="1:22" x14ac:dyDescent="0.25">
      <c r="A12" s="218">
        <v>12</v>
      </c>
      <c r="B12" s="218" t="s">
        <v>210</v>
      </c>
      <c r="C12" s="223" t="s">
        <v>357</v>
      </c>
      <c r="D12" s="235"/>
      <c r="E12" s="235"/>
      <c r="F12" s="235"/>
      <c r="G12" s="235"/>
      <c r="H12" s="224"/>
      <c r="I12" s="224"/>
      <c r="J12" s="224"/>
      <c r="K12" s="224"/>
      <c r="L12" s="224"/>
      <c r="M12" s="224"/>
      <c r="N12" s="224"/>
      <c r="O12" s="224"/>
      <c r="P12" s="225">
        <v>8912</v>
      </c>
      <c r="Q12" s="287">
        <f>12208+77.394+60</f>
        <v>12345.394</v>
      </c>
      <c r="R12" s="225"/>
      <c r="S12" s="225"/>
      <c r="T12" s="226">
        <f t="shared" si="0"/>
        <v>8912</v>
      </c>
      <c r="U12" s="236"/>
      <c r="V12" s="226">
        <f t="shared" si="2"/>
        <v>12345.394</v>
      </c>
    </row>
    <row r="13" spans="1:22" x14ac:dyDescent="0.25">
      <c r="A13" s="218">
        <v>13</v>
      </c>
      <c r="B13" s="218" t="s">
        <v>210</v>
      </c>
      <c r="C13" s="223" t="s">
        <v>266</v>
      </c>
      <c r="D13" s="237">
        <v>4857</v>
      </c>
      <c r="E13" s="237">
        <v>4857</v>
      </c>
      <c r="F13" s="235"/>
      <c r="G13" s="235"/>
      <c r="H13" s="224"/>
      <c r="I13" s="224"/>
      <c r="J13" s="224"/>
      <c r="K13" s="224"/>
      <c r="L13" s="224"/>
      <c r="M13" s="224"/>
      <c r="N13" s="224"/>
      <c r="O13" s="224"/>
      <c r="P13" s="225">
        <v>6614</v>
      </c>
      <c r="Q13" s="225">
        <f>6868+48.815</f>
        <v>6916.8149999999996</v>
      </c>
      <c r="R13" s="225"/>
      <c r="S13" s="225"/>
      <c r="T13" s="226">
        <f t="shared" si="0"/>
        <v>11471</v>
      </c>
      <c r="U13" s="236">
        <v>10237</v>
      </c>
      <c r="V13" s="226">
        <f t="shared" si="2"/>
        <v>11773.814999999999</v>
      </c>
    </row>
    <row r="14" spans="1:22" x14ac:dyDescent="0.25">
      <c r="A14" s="218">
        <v>14</v>
      </c>
      <c r="B14" s="218" t="s">
        <v>210</v>
      </c>
      <c r="C14" s="223" t="s">
        <v>267</v>
      </c>
      <c r="D14" s="235"/>
      <c r="E14" s="235"/>
      <c r="F14" s="235"/>
      <c r="G14" s="235"/>
      <c r="H14" s="224"/>
      <c r="I14" s="224"/>
      <c r="J14" s="224"/>
      <c r="K14" s="224"/>
      <c r="L14" s="224"/>
      <c r="M14" s="224"/>
      <c r="N14" s="224"/>
      <c r="O14" s="224"/>
      <c r="P14" s="225">
        <v>9539</v>
      </c>
      <c r="Q14" s="225">
        <f>9539+405</f>
        <v>9944</v>
      </c>
      <c r="R14" s="225"/>
      <c r="S14" s="225"/>
      <c r="T14" s="226">
        <f t="shared" si="0"/>
        <v>9539</v>
      </c>
      <c r="U14" s="236"/>
      <c r="V14" s="226">
        <f t="shared" si="2"/>
        <v>9944</v>
      </c>
    </row>
    <row r="15" spans="1:22" x14ac:dyDescent="0.25">
      <c r="A15" s="218">
        <v>15</v>
      </c>
      <c r="B15" s="218" t="s">
        <v>214</v>
      </c>
      <c r="C15" s="223" t="s">
        <v>231</v>
      </c>
      <c r="D15" s="235"/>
      <c r="E15" s="235"/>
      <c r="F15" s="235"/>
      <c r="G15" s="235"/>
      <c r="H15" s="224"/>
      <c r="I15" s="224"/>
      <c r="J15" s="224"/>
      <c r="K15" s="224"/>
      <c r="L15" s="224"/>
      <c r="M15" s="224"/>
      <c r="N15" s="224"/>
      <c r="O15" s="224"/>
      <c r="P15" s="225">
        <v>2562</v>
      </c>
      <c r="Q15" s="225">
        <v>2562</v>
      </c>
      <c r="R15" s="225"/>
      <c r="S15" s="225"/>
      <c r="T15" s="226">
        <f t="shared" si="0"/>
        <v>2562</v>
      </c>
      <c r="U15" s="236">
        <v>5328</v>
      </c>
      <c r="V15" s="226">
        <f t="shared" si="2"/>
        <v>2562</v>
      </c>
    </row>
    <row r="16" spans="1:22" x14ac:dyDescent="0.25">
      <c r="A16" s="218">
        <v>17</v>
      </c>
      <c r="B16" s="218" t="s">
        <v>214</v>
      </c>
      <c r="C16" s="223" t="s">
        <v>268</v>
      </c>
      <c r="D16" s="235">
        <v>1430</v>
      </c>
      <c r="E16" s="235">
        <v>1430</v>
      </c>
      <c r="F16" s="235"/>
      <c r="G16" s="235"/>
      <c r="H16" s="224"/>
      <c r="I16" s="224"/>
      <c r="J16" s="224"/>
      <c r="K16" s="224"/>
      <c r="L16" s="224"/>
      <c r="M16" s="224"/>
      <c r="N16" s="224"/>
      <c r="O16" s="224"/>
      <c r="P16" s="225"/>
      <c r="Q16" s="225"/>
      <c r="R16" s="225"/>
      <c r="S16" s="225"/>
      <c r="T16" s="226">
        <f t="shared" si="0"/>
        <v>1430</v>
      </c>
      <c r="U16" s="236">
        <v>1384</v>
      </c>
      <c r="V16" s="226">
        <f t="shared" si="2"/>
        <v>1430</v>
      </c>
    </row>
    <row r="17" spans="1:22" ht="15.75" x14ac:dyDescent="0.25">
      <c r="A17" s="218">
        <v>18</v>
      </c>
      <c r="B17" s="218"/>
      <c r="C17" s="221" t="s">
        <v>253</v>
      </c>
      <c r="D17" s="226">
        <f t="shared" ref="D17:V17" si="4">SUM(D5:D16)</f>
        <v>32438</v>
      </c>
      <c r="E17" s="226">
        <f t="shared" ref="E17" si="5">SUM(E5:E16)</f>
        <v>32438</v>
      </c>
      <c r="F17" s="226">
        <f t="shared" si="4"/>
        <v>0</v>
      </c>
      <c r="G17" s="226">
        <f t="shared" ref="G17" si="6">SUM(G5:G16)</f>
        <v>0</v>
      </c>
      <c r="H17" s="226">
        <f t="shared" si="4"/>
        <v>966</v>
      </c>
      <c r="I17" s="226">
        <f t="shared" ref="I17" si="7">SUM(I5:I16)</f>
        <v>966</v>
      </c>
      <c r="J17" s="226">
        <f t="shared" si="4"/>
        <v>0</v>
      </c>
      <c r="K17" s="226">
        <f t="shared" ref="K17" si="8">SUM(K5:K16)</f>
        <v>0</v>
      </c>
      <c r="L17" s="226">
        <f t="shared" si="4"/>
        <v>0</v>
      </c>
      <c r="M17" s="226">
        <f t="shared" ref="M17" si="9">SUM(M5:M16)</f>
        <v>0</v>
      </c>
      <c r="N17" s="226">
        <f t="shared" si="4"/>
        <v>0</v>
      </c>
      <c r="O17" s="226">
        <f t="shared" ref="O17" si="10">SUM(O5:O16)</f>
        <v>0</v>
      </c>
      <c r="P17" s="226">
        <f t="shared" si="4"/>
        <v>110751</v>
      </c>
      <c r="Q17" s="226">
        <f t="shared" ref="Q17:S17" si="11">SUM(Q5:Q16)</f>
        <v>124300.327</v>
      </c>
      <c r="R17" s="226">
        <f t="shared" si="11"/>
        <v>0</v>
      </c>
      <c r="S17" s="226">
        <f t="shared" si="11"/>
        <v>483.49900000000002</v>
      </c>
      <c r="T17" s="226">
        <f t="shared" si="4"/>
        <v>144155</v>
      </c>
      <c r="U17" s="226">
        <f t="shared" si="4"/>
        <v>111924</v>
      </c>
      <c r="V17" s="226">
        <f t="shared" si="4"/>
        <v>158187.826</v>
      </c>
    </row>
    <row r="18" spans="1:22" x14ac:dyDescent="0.25">
      <c r="A18" s="218">
        <v>19</v>
      </c>
      <c r="B18" s="238"/>
      <c r="C18" s="54" t="s">
        <v>239</v>
      </c>
      <c r="D18" s="228">
        <f t="shared" ref="D18:V18" si="12">SUMIF($B5:$B16,"kötelező",D5:D16)</f>
        <v>4857</v>
      </c>
      <c r="E18" s="228">
        <f t="shared" ref="E18" si="13">SUMIF($B5:$B16,"kötelező",E5:E16)</f>
        <v>4857</v>
      </c>
      <c r="F18" s="228">
        <f t="shared" si="12"/>
        <v>0</v>
      </c>
      <c r="G18" s="228">
        <f t="shared" ref="G18" si="14">SUMIF($B5:$B16,"kötelező",G5:G16)</f>
        <v>0</v>
      </c>
      <c r="H18" s="228">
        <f t="shared" si="12"/>
        <v>0</v>
      </c>
      <c r="I18" s="228">
        <f t="shared" ref="I18" si="15">SUMIF($B5:$B16,"kötelező",I5:I16)</f>
        <v>0</v>
      </c>
      <c r="J18" s="228">
        <f t="shared" si="12"/>
        <v>0</v>
      </c>
      <c r="K18" s="228">
        <f t="shared" ref="K18" si="16">SUMIF($B5:$B16,"kötelező",K5:K16)</f>
        <v>0</v>
      </c>
      <c r="L18" s="228">
        <f t="shared" si="12"/>
        <v>0</v>
      </c>
      <c r="M18" s="228">
        <f t="shared" ref="M18" si="17">SUMIF($B5:$B16,"kötelező",M5:M16)</f>
        <v>0</v>
      </c>
      <c r="N18" s="228">
        <f t="shared" si="12"/>
        <v>0</v>
      </c>
      <c r="O18" s="228">
        <f t="shared" ref="O18" si="18">SUMIF($B5:$B16,"kötelező",O5:O16)</f>
        <v>0</v>
      </c>
      <c r="P18" s="228">
        <f t="shared" si="12"/>
        <v>47013</v>
      </c>
      <c r="Q18" s="228">
        <f t="shared" ref="Q18:S18" si="19">SUMIF($B5:$B16,"kötelező",Q5:Q16)</f>
        <v>53954.527000000002</v>
      </c>
      <c r="R18" s="228">
        <f t="shared" si="19"/>
        <v>0</v>
      </c>
      <c r="S18" s="228">
        <f t="shared" si="19"/>
        <v>0</v>
      </c>
      <c r="T18" s="228">
        <f t="shared" si="12"/>
        <v>51870</v>
      </c>
      <c r="U18" s="228">
        <f t="shared" si="12"/>
        <v>11093</v>
      </c>
      <c r="V18" s="228">
        <f t="shared" si="12"/>
        <v>58811.527000000002</v>
      </c>
    </row>
    <row r="19" spans="1:22" x14ac:dyDescent="0.25">
      <c r="A19" s="218">
        <v>20</v>
      </c>
      <c r="B19" s="238"/>
      <c r="C19" s="54" t="s">
        <v>240</v>
      </c>
      <c r="D19" s="228">
        <f t="shared" ref="D19:V19" si="20">SUMIF($B5:$B16,"nem kötelező",D5:D16)</f>
        <v>27581</v>
      </c>
      <c r="E19" s="228">
        <f t="shared" ref="E19" si="21">SUMIF($B5:$B16,"nem kötelező",E5:E16)</f>
        <v>27581</v>
      </c>
      <c r="F19" s="228">
        <f t="shared" si="20"/>
        <v>0</v>
      </c>
      <c r="G19" s="228">
        <f t="shared" ref="G19" si="22">SUMIF($B5:$B16,"nem kötelező",G5:G16)</f>
        <v>0</v>
      </c>
      <c r="H19" s="228">
        <f t="shared" si="20"/>
        <v>966</v>
      </c>
      <c r="I19" s="228">
        <f t="shared" ref="I19" si="23">SUMIF($B5:$B16,"nem kötelező",I5:I16)</f>
        <v>966</v>
      </c>
      <c r="J19" s="228">
        <f t="shared" si="20"/>
        <v>0</v>
      </c>
      <c r="K19" s="228">
        <f t="shared" ref="K19" si="24">SUMIF($B5:$B16,"nem kötelező",K5:K16)</f>
        <v>0</v>
      </c>
      <c r="L19" s="228">
        <f t="shared" si="20"/>
        <v>0</v>
      </c>
      <c r="M19" s="228">
        <f t="shared" ref="M19" si="25">SUMIF($B5:$B16,"nem kötelező",M5:M16)</f>
        <v>0</v>
      </c>
      <c r="N19" s="228">
        <f t="shared" si="20"/>
        <v>0</v>
      </c>
      <c r="O19" s="228">
        <f t="shared" ref="O19" si="26">SUMIF($B5:$B16,"nem kötelező",O5:O16)</f>
        <v>0</v>
      </c>
      <c r="P19" s="228">
        <f t="shared" si="20"/>
        <v>63738</v>
      </c>
      <c r="Q19" s="228">
        <f t="shared" ref="Q19:S19" si="27">SUMIF($B5:$B16,"nem kötelező",Q5:Q16)</f>
        <v>70345.8</v>
      </c>
      <c r="R19" s="228">
        <f t="shared" si="27"/>
        <v>0</v>
      </c>
      <c r="S19" s="228">
        <f t="shared" si="27"/>
        <v>483.49900000000002</v>
      </c>
      <c r="T19" s="228">
        <f t="shared" si="20"/>
        <v>92285</v>
      </c>
      <c r="U19" s="228">
        <f t="shared" si="20"/>
        <v>100831</v>
      </c>
      <c r="V19" s="228">
        <f t="shared" si="20"/>
        <v>99376.298999999999</v>
      </c>
    </row>
    <row r="20" spans="1:22" x14ac:dyDescent="0.25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</row>
  </sheetData>
  <mergeCells count="10">
    <mergeCell ref="N3:O3"/>
    <mergeCell ref="P3:Q3"/>
    <mergeCell ref="T3:V3"/>
    <mergeCell ref="C2:V2"/>
    <mergeCell ref="R3:S3"/>
    <mergeCell ref="D3:E3"/>
    <mergeCell ref="F3:G3"/>
    <mergeCell ref="H3:I3"/>
    <mergeCell ref="J3:K3"/>
    <mergeCell ref="L3:M3"/>
  </mergeCells>
  <printOptions horizontalCentered="1"/>
  <pageMargins left="0.70866141732283472" right="0.1640625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6</vt:i4>
      </vt:variant>
    </vt:vector>
  </HeadingPairs>
  <TitlesOfParts>
    <vt:vector size="24" baseType="lpstr">
      <vt:lpstr>1.1.összevont</vt:lpstr>
      <vt:lpstr>1.2.kötelező</vt:lpstr>
      <vt:lpstr>1.3.önként</vt:lpstr>
      <vt:lpstr>1.4.államigazg</vt:lpstr>
      <vt:lpstr>2.1.műkmérleg</vt:lpstr>
      <vt:lpstr>2.2.felhmérleg</vt:lpstr>
      <vt:lpstr>3.1 Önk bev.</vt:lpstr>
      <vt:lpstr>3.2 PMH bev.</vt:lpstr>
      <vt:lpstr>3.3 GKP bev</vt:lpstr>
      <vt:lpstr>3.4 VE bev</vt:lpstr>
      <vt:lpstr>3.5 MH bev.</vt:lpstr>
      <vt:lpstr>4.1.Önk kiad</vt:lpstr>
      <vt:lpstr>4.2.PMH kiad</vt:lpstr>
      <vt:lpstr>4.3. GKP kiad</vt:lpstr>
      <vt:lpstr>4.4. VE kiad</vt:lpstr>
      <vt:lpstr>4.5. MH kiad</vt:lpstr>
      <vt:lpstr>5.Beruh</vt:lpstr>
      <vt:lpstr>6.Felújít</vt:lpstr>
      <vt:lpstr>'3.1 Önk bev.'!Nyomtatási_terület</vt:lpstr>
      <vt:lpstr>'4.1.Önk kiad'!Nyomtatási_terület</vt:lpstr>
      <vt:lpstr>'4.2.PMH kiad'!Nyomtatási_terület</vt:lpstr>
      <vt:lpstr>'4.3. GKP kiad'!Nyomtatási_terület</vt:lpstr>
      <vt:lpstr>'4.4. VE kiad'!Nyomtatási_terület</vt:lpstr>
      <vt:lpstr>'4.5. MH kiad'!Nyomtatási_terület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2018-11-12T09:40:04Z</dcterms:modified>
</cp:coreProperties>
</file>