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485" windowWidth="14805" windowHeight="6630"/>
  </bookViews>
  <sheets>
    <sheet name="1.1.összevont" sheetId="1" r:id="rId1"/>
    <sheet name="1.2.kötelező" sheetId="4" r:id="rId2"/>
    <sheet name="1.3.önként" sheetId="5" r:id="rId3"/>
    <sheet name="1.4.államigazg" sheetId="6" r:id="rId4"/>
    <sheet name="2.1.műkmérleg" sheetId="2" r:id="rId5"/>
    <sheet name="2.2.felhmérleg" sheetId="7" r:id="rId6"/>
    <sheet name="3.1 Önk bev." sheetId="22" r:id="rId7"/>
    <sheet name="3.2 PMH bev." sheetId="23" r:id="rId8"/>
    <sheet name="3.3 GKP bev" sheetId="24" r:id="rId9"/>
    <sheet name="3.4 VE bev" sheetId="25" r:id="rId10"/>
    <sheet name="3.5 MH bev." sheetId="31" r:id="rId11"/>
    <sheet name="4.1.Önk kiad" sheetId="26" r:id="rId12"/>
    <sheet name="4.2.PMH kiad" sheetId="27" r:id="rId13"/>
    <sheet name="4.3. GKP kiad" sheetId="28" r:id="rId14"/>
    <sheet name="4.4. VE kiad" sheetId="29" r:id="rId15"/>
    <sheet name="4.5. MH kiad" sheetId="30" r:id="rId16"/>
    <sheet name="5.Beruh" sheetId="18" r:id="rId17"/>
    <sheet name="6.Felújít" sheetId="20" r:id="rId18"/>
    <sheet name="7.adóss keletk köt " sheetId="3" r:id="rId19"/>
    <sheet name="8.önk saját bev" sheetId="8" r:id="rId20"/>
    <sheet name="9.adóss.fejl" sheetId="19" r:id="rId21"/>
    <sheet name="10.EU-s" sheetId="21" r:id="rId22"/>
  </sheets>
  <definedNames>
    <definedName name="_xlnm._FilterDatabase" localSheetId="6" hidden="1">'3.1 Önk bev.'!$A$2:$M$65</definedName>
    <definedName name="_xlnm.Print_Area" localSheetId="21">'10.EU-s'!$A$1:$G$383</definedName>
    <definedName name="_xlnm.Print_Area" localSheetId="6">'3.1 Önk bev.'!$A$1:$M$100</definedName>
    <definedName name="_xlnm.Print_Area" localSheetId="11">'4.1.Önk kiad'!$A$1:$Q$106</definedName>
    <definedName name="_xlnm.Print_Area" localSheetId="12">'4.2.PMH kiad'!$A$2:$O$12</definedName>
    <definedName name="_xlnm.Print_Area" localSheetId="13">'4.3. GKP kiad'!$A$2:$P$20</definedName>
    <definedName name="_xlnm.Print_Area" localSheetId="14">'4.4. VE kiad'!$A$2:$O$11</definedName>
    <definedName name="_xlnm.Print_Area" localSheetId="15">'4.5. MH kiad'!$A$2:$O$18</definedName>
    <definedName name="Verzió" localSheetId="7">#REF!</definedName>
    <definedName name="Verzió" localSheetId="8">#REF!</definedName>
    <definedName name="Verzió" localSheetId="9">#REF!</definedName>
    <definedName name="Verzió" localSheetId="10">#REF!</definedName>
    <definedName name="Verzió" localSheetId="11">#REF!</definedName>
    <definedName name="Verzió" localSheetId="12">#REF!</definedName>
    <definedName name="Verzió" localSheetId="13">#REF!</definedName>
    <definedName name="Verzió" localSheetId="14">#REF!</definedName>
    <definedName name="Verzió" localSheetId="15">#REF!</definedName>
    <definedName name="Verzió">#REF!</definedName>
  </definedNames>
  <calcPr calcId="145621"/>
</workbook>
</file>

<file path=xl/calcChain.xml><?xml version="1.0" encoding="utf-8"?>
<calcChain xmlns="http://schemas.openxmlformats.org/spreadsheetml/2006/main">
  <c r="C12" i="8" l="1"/>
  <c r="C8" i="8"/>
  <c r="F9" i="3"/>
  <c r="F14" i="3"/>
  <c r="E14" i="3"/>
  <c r="D14" i="3"/>
  <c r="C14" i="3"/>
  <c r="D382" i="21" l="1"/>
  <c r="C382" i="21"/>
  <c r="B382" i="21"/>
  <c r="E380" i="21"/>
  <c r="E379" i="21"/>
  <c r="E378" i="21"/>
  <c r="E377" i="21"/>
  <c r="C374" i="21"/>
  <c r="B374" i="21"/>
  <c r="E374" i="21" s="1"/>
  <c r="E373" i="21"/>
  <c r="E372" i="21"/>
  <c r="E371" i="21"/>
  <c r="E370" i="21"/>
  <c r="E369" i="21"/>
  <c r="E368" i="21"/>
  <c r="E367" i="21"/>
  <c r="D362" i="21"/>
  <c r="C362" i="21"/>
  <c r="B362" i="21"/>
  <c r="E360" i="21"/>
  <c r="E359" i="21"/>
  <c r="E358" i="21"/>
  <c r="E357" i="21"/>
  <c r="C354" i="21"/>
  <c r="B354" i="21"/>
  <c r="E354" i="21" s="1"/>
  <c r="E353" i="21"/>
  <c r="E352" i="21"/>
  <c r="E351" i="21"/>
  <c r="E350" i="21"/>
  <c r="E349" i="21"/>
  <c r="E348" i="21"/>
  <c r="E347" i="21"/>
  <c r="D342" i="21"/>
  <c r="C342" i="21"/>
  <c r="B342" i="21"/>
  <c r="E340" i="21"/>
  <c r="E339" i="21"/>
  <c r="E338" i="21"/>
  <c r="E342" i="21" s="1"/>
  <c r="E337" i="21"/>
  <c r="C334" i="21"/>
  <c r="B334" i="21"/>
  <c r="E334" i="21" s="1"/>
  <c r="E333" i="21"/>
  <c r="E332" i="21"/>
  <c r="E331" i="21"/>
  <c r="E330" i="21"/>
  <c r="E329" i="21"/>
  <c r="E328" i="21"/>
  <c r="E327" i="21"/>
  <c r="D322" i="21"/>
  <c r="C322" i="21"/>
  <c r="B322" i="21"/>
  <c r="E320" i="21"/>
  <c r="E319" i="21"/>
  <c r="E318" i="21"/>
  <c r="E317" i="21"/>
  <c r="E322" i="21" s="1"/>
  <c r="C314" i="21"/>
  <c r="B314" i="21"/>
  <c r="E314" i="21" s="1"/>
  <c r="E313" i="21"/>
  <c r="E312" i="21"/>
  <c r="E311" i="21"/>
  <c r="E310" i="21"/>
  <c r="E309" i="21"/>
  <c r="E308" i="21"/>
  <c r="E307" i="21"/>
  <c r="D302" i="21"/>
  <c r="C302" i="21"/>
  <c r="B302" i="21"/>
  <c r="E300" i="21"/>
  <c r="E299" i="21"/>
  <c r="E298" i="21"/>
  <c r="E297" i="21"/>
  <c r="E302" i="21" s="1"/>
  <c r="C294" i="21"/>
  <c r="B294" i="21"/>
  <c r="E294" i="21" s="1"/>
  <c r="E293" i="21"/>
  <c r="E292" i="21"/>
  <c r="E291" i="21"/>
  <c r="E290" i="21"/>
  <c r="E289" i="21"/>
  <c r="E288" i="21"/>
  <c r="E287" i="21"/>
  <c r="D282" i="21"/>
  <c r="C282" i="21"/>
  <c r="B282" i="21"/>
  <c r="E280" i="21"/>
  <c r="E279" i="21"/>
  <c r="E278" i="21"/>
  <c r="E282" i="21" s="1"/>
  <c r="E277" i="21"/>
  <c r="C274" i="21"/>
  <c r="B274" i="21"/>
  <c r="E274" i="21" s="1"/>
  <c r="E273" i="21"/>
  <c r="E272" i="21"/>
  <c r="E271" i="21"/>
  <c r="E270" i="21"/>
  <c r="E269" i="21"/>
  <c r="E268" i="21"/>
  <c r="E267" i="21"/>
  <c r="D262" i="21"/>
  <c r="C262" i="21"/>
  <c r="B262" i="21"/>
  <c r="E260" i="21"/>
  <c r="E259" i="21"/>
  <c r="E258" i="21"/>
  <c r="E257" i="21"/>
  <c r="C254" i="21"/>
  <c r="B254" i="21"/>
  <c r="E254" i="21" s="1"/>
  <c r="E253" i="21"/>
  <c r="E252" i="21"/>
  <c r="E251" i="21"/>
  <c r="E250" i="21"/>
  <c r="E249" i="21"/>
  <c r="E248" i="21"/>
  <c r="E247" i="21"/>
  <c r="D242" i="21"/>
  <c r="C242" i="21"/>
  <c r="B242" i="21"/>
  <c r="E240" i="21"/>
  <c r="E239" i="21"/>
  <c r="E238" i="21"/>
  <c r="E237" i="21"/>
  <c r="E242" i="21" s="1"/>
  <c r="C234" i="21"/>
  <c r="B234" i="21"/>
  <c r="E234" i="21" s="1"/>
  <c r="E233" i="21"/>
  <c r="E232" i="21"/>
  <c r="E231" i="21"/>
  <c r="E230" i="21"/>
  <c r="E229" i="21"/>
  <c r="E228" i="21"/>
  <c r="E227" i="21"/>
  <c r="E382" i="21" l="1"/>
  <c r="E362" i="21"/>
  <c r="E262" i="21"/>
  <c r="C15" i="7"/>
  <c r="C14" i="2"/>
  <c r="E12" i="2"/>
  <c r="C15" i="2"/>
  <c r="E11" i="2"/>
  <c r="C15" i="5"/>
  <c r="C24" i="5"/>
  <c r="D72" i="1"/>
  <c r="D24" i="1"/>
  <c r="K99" i="22"/>
  <c r="M67" i="22"/>
  <c r="M65" i="22"/>
  <c r="M84" i="22" s="1"/>
  <c r="E65" i="22"/>
  <c r="M64" i="22"/>
  <c r="M86" i="22"/>
  <c r="F87" i="22"/>
  <c r="F65" i="22"/>
  <c r="N19" i="26"/>
  <c r="Q97" i="26" l="1"/>
  <c r="J11" i="24"/>
  <c r="E28" i="18" l="1"/>
  <c r="E19" i="18"/>
  <c r="E11" i="18"/>
  <c r="F28" i="18"/>
  <c r="B28" i="18"/>
  <c r="H34" i="22"/>
  <c r="H33" i="22"/>
  <c r="D37" i="22"/>
  <c r="E36" i="18" l="1"/>
  <c r="M54" i="22"/>
  <c r="M55" i="22"/>
  <c r="M56" i="22"/>
  <c r="M57" i="22"/>
  <c r="M58" i="22"/>
  <c r="M59" i="22"/>
  <c r="M60" i="22"/>
  <c r="M61" i="22"/>
  <c r="D75" i="26" l="1"/>
  <c r="F13" i="30" l="1"/>
  <c r="F9" i="30"/>
  <c r="E11" i="28"/>
  <c r="D11" i="28"/>
  <c r="I6" i="28"/>
  <c r="F12" i="28"/>
  <c r="I7" i="27" l="1"/>
  <c r="F6" i="29"/>
  <c r="I6" i="29"/>
  <c r="M13" i="26"/>
  <c r="P73" i="26"/>
  <c r="P71" i="26"/>
  <c r="P72" i="26"/>
  <c r="P70" i="26"/>
  <c r="P69" i="26"/>
  <c r="P68" i="26"/>
  <c r="P67" i="26"/>
  <c r="P66" i="26"/>
  <c r="M53" i="22"/>
  <c r="F49" i="26"/>
  <c r="F34" i="26"/>
  <c r="F35" i="26"/>
  <c r="L34" i="26"/>
  <c r="M11" i="26"/>
  <c r="M10" i="26"/>
  <c r="L9" i="26"/>
  <c r="M8" i="26"/>
  <c r="L7" i="26"/>
  <c r="N18" i="26"/>
  <c r="F53" i="26"/>
  <c r="P53" i="26" s="1"/>
  <c r="P54" i="26"/>
  <c r="D6" i="26"/>
  <c r="K41" i="22" l="1"/>
  <c r="E27" i="20" l="1"/>
  <c r="E7" i="27"/>
  <c r="D7" i="27"/>
  <c r="B48" i="18" l="1"/>
  <c r="E48" i="18"/>
  <c r="L56" i="26"/>
  <c r="I42" i="22"/>
  <c r="B19" i="21"/>
  <c r="B18" i="21"/>
  <c r="F6" i="31"/>
  <c r="D6" i="30"/>
  <c r="E6" i="30"/>
  <c r="E34" i="26" l="1"/>
  <c r="D34" i="26"/>
  <c r="P13" i="26"/>
  <c r="P10" i="26"/>
  <c r="F32" i="26" l="1"/>
  <c r="E32" i="26"/>
  <c r="D32" i="26"/>
  <c r="P9" i="26" l="1"/>
  <c r="P11" i="26"/>
  <c r="P55" i="26"/>
  <c r="M39" i="22" l="1"/>
  <c r="D222" i="21" l="1"/>
  <c r="E220" i="21"/>
  <c r="E219" i="21"/>
  <c r="E218" i="21"/>
  <c r="C222" i="21"/>
  <c r="B222" i="21"/>
  <c r="C214" i="21"/>
  <c r="B214" i="21"/>
  <c r="E213" i="21"/>
  <c r="E212" i="21"/>
  <c r="E211" i="21"/>
  <c r="E210" i="21"/>
  <c r="E209" i="21"/>
  <c r="E208" i="21"/>
  <c r="E207" i="21"/>
  <c r="C197" i="21"/>
  <c r="C202" i="21" s="1"/>
  <c r="B197" i="21"/>
  <c r="E197" i="21" s="1"/>
  <c r="D202" i="21"/>
  <c r="E200" i="21"/>
  <c r="E199" i="21"/>
  <c r="E198" i="21"/>
  <c r="C194" i="21"/>
  <c r="B194" i="21"/>
  <c r="E193" i="21"/>
  <c r="E192" i="21"/>
  <c r="E191" i="21"/>
  <c r="E190" i="21"/>
  <c r="E189" i="21"/>
  <c r="E188" i="21"/>
  <c r="E187" i="21"/>
  <c r="B178" i="21"/>
  <c r="B177" i="21"/>
  <c r="B182" i="21" s="1"/>
  <c r="D182" i="21"/>
  <c r="C182" i="21"/>
  <c r="E180" i="21"/>
  <c r="E179" i="21"/>
  <c r="E178" i="21"/>
  <c r="C174" i="21"/>
  <c r="B174" i="21"/>
  <c r="E173" i="21"/>
  <c r="E172" i="21"/>
  <c r="E171" i="21"/>
  <c r="E170" i="21"/>
  <c r="E169" i="21"/>
  <c r="E168" i="21"/>
  <c r="E167" i="21"/>
  <c r="E160" i="21"/>
  <c r="B157" i="21"/>
  <c r="B162" i="21" s="1"/>
  <c r="D162" i="21"/>
  <c r="C162" i="21"/>
  <c r="E159" i="21"/>
  <c r="E158" i="21"/>
  <c r="C154" i="21"/>
  <c r="B154" i="21"/>
  <c r="E153" i="21"/>
  <c r="E152" i="21"/>
  <c r="E151" i="21"/>
  <c r="E150" i="21"/>
  <c r="E149" i="21"/>
  <c r="E148" i="21"/>
  <c r="E147" i="21"/>
  <c r="N59" i="26"/>
  <c r="P58" i="26"/>
  <c r="P59" i="26"/>
  <c r="D142" i="21"/>
  <c r="C142" i="21"/>
  <c r="B142" i="21"/>
  <c r="E139" i="21"/>
  <c r="E138" i="21"/>
  <c r="E137" i="21"/>
  <c r="C134" i="21"/>
  <c r="B134" i="21"/>
  <c r="E133" i="21"/>
  <c r="E132" i="21"/>
  <c r="E131" i="21"/>
  <c r="E130" i="21"/>
  <c r="E129" i="21"/>
  <c r="E128" i="21"/>
  <c r="E127" i="21"/>
  <c r="D122" i="21"/>
  <c r="C122" i="21"/>
  <c r="B122" i="21"/>
  <c r="E119" i="21"/>
  <c r="E118" i="21"/>
  <c r="E117" i="21"/>
  <c r="E122" i="21" s="1"/>
  <c r="C114" i="21"/>
  <c r="B114" i="21"/>
  <c r="E114" i="21" s="1"/>
  <c r="E113" i="21"/>
  <c r="E112" i="21"/>
  <c r="E111" i="21"/>
  <c r="E110" i="21"/>
  <c r="E109" i="21"/>
  <c r="E108" i="21"/>
  <c r="E107" i="21"/>
  <c r="P65" i="26"/>
  <c r="D102" i="21"/>
  <c r="C102" i="21"/>
  <c r="B102" i="21"/>
  <c r="E99" i="21"/>
  <c r="E98" i="21"/>
  <c r="E97" i="21"/>
  <c r="C94" i="21"/>
  <c r="B94" i="21"/>
  <c r="E94" i="21" s="1"/>
  <c r="E93" i="21"/>
  <c r="E92" i="21"/>
  <c r="E91" i="21"/>
  <c r="E90" i="21"/>
  <c r="E89" i="21"/>
  <c r="E88" i="21"/>
  <c r="E87" i="21"/>
  <c r="D82" i="21"/>
  <c r="C82" i="21"/>
  <c r="B82" i="21"/>
  <c r="E79" i="21"/>
  <c r="E78" i="21"/>
  <c r="E77" i="21"/>
  <c r="C74" i="21"/>
  <c r="B74" i="21"/>
  <c r="E73" i="21"/>
  <c r="E72" i="21"/>
  <c r="E71" i="21"/>
  <c r="E70" i="21"/>
  <c r="E69" i="21"/>
  <c r="E68" i="21"/>
  <c r="E67" i="21"/>
  <c r="E74" i="21" l="1"/>
  <c r="E134" i="21"/>
  <c r="E154" i="21"/>
  <c r="E157" i="21"/>
  <c r="E174" i="21"/>
  <c r="E194" i="21"/>
  <c r="E214" i="21"/>
  <c r="E217" i="21"/>
  <c r="E222" i="21" s="1"/>
  <c r="E202" i="21"/>
  <c r="B202" i="21"/>
  <c r="E177" i="21"/>
  <c r="E182" i="21" s="1"/>
  <c r="E162" i="21"/>
  <c r="E142" i="21"/>
  <c r="E102" i="21"/>
  <c r="E82" i="21"/>
  <c r="D62" i="21"/>
  <c r="C62" i="21"/>
  <c r="B62" i="21"/>
  <c r="E57" i="21"/>
  <c r="E59" i="21"/>
  <c r="E58" i="21"/>
  <c r="C54" i="21"/>
  <c r="E53" i="21"/>
  <c r="E52" i="21"/>
  <c r="E51" i="21"/>
  <c r="E50" i="21"/>
  <c r="E49" i="21"/>
  <c r="E48" i="21"/>
  <c r="E47" i="21"/>
  <c r="E62" i="21" l="1"/>
  <c r="B54" i="21"/>
  <c r="E54" i="21" s="1"/>
  <c r="F30" i="22"/>
  <c r="F29" i="22"/>
  <c r="F85" i="26" l="1"/>
  <c r="C14" i="21" l="1"/>
  <c r="B29" i="21"/>
  <c r="C34" i="21"/>
  <c r="C42" i="21" l="1"/>
  <c r="B42" i="21"/>
  <c r="E39" i="21"/>
  <c r="E38" i="21"/>
  <c r="E34" i="21"/>
  <c r="B34" i="21"/>
  <c r="E33" i="21"/>
  <c r="E32" i="21"/>
  <c r="E31" i="21"/>
  <c r="E30" i="21"/>
  <c r="E29" i="21"/>
  <c r="E28" i="21"/>
  <c r="E27" i="21"/>
  <c r="C22" i="21"/>
  <c r="B22" i="21"/>
  <c r="B14" i="21"/>
  <c r="E14" i="21" s="1"/>
  <c r="E8" i="21"/>
  <c r="E9" i="21"/>
  <c r="E10" i="21"/>
  <c r="E11" i="21"/>
  <c r="E12" i="21"/>
  <c r="E13" i="21"/>
  <c r="E7" i="21"/>
  <c r="E19" i="21"/>
  <c r="E18" i="21"/>
  <c r="E42" i="21" l="1"/>
  <c r="E22" i="21"/>
  <c r="M45" i="22" l="1"/>
  <c r="M46" i="22"/>
  <c r="P18" i="26"/>
  <c r="M44" i="22"/>
  <c r="M76" i="22"/>
  <c r="M79" i="22"/>
  <c r="M77" i="22"/>
  <c r="M74" i="22"/>
  <c r="M73" i="22"/>
  <c r="L67" i="22"/>
  <c r="L65" i="22"/>
  <c r="K86" i="22"/>
  <c r="K78" i="22"/>
  <c r="K75" i="22"/>
  <c r="K72" i="22"/>
  <c r="K68" i="22"/>
  <c r="K67" i="22"/>
  <c r="K85" i="22" s="1"/>
  <c r="K65" i="22"/>
  <c r="K84" i="22" s="1"/>
  <c r="M7" i="22"/>
  <c r="M8" i="22"/>
  <c r="M9" i="22"/>
  <c r="M10" i="22"/>
  <c r="M11" i="22"/>
  <c r="M12" i="22"/>
  <c r="M13" i="22"/>
  <c r="M14" i="22"/>
  <c r="M15" i="22"/>
  <c r="M16" i="22"/>
  <c r="M17" i="22"/>
  <c r="M18" i="22"/>
  <c r="M19" i="22"/>
  <c r="M20" i="22"/>
  <c r="M21" i="22"/>
  <c r="M22" i="22"/>
  <c r="M23" i="22"/>
  <c r="M26" i="22"/>
  <c r="M27" i="22"/>
  <c r="M29" i="22"/>
  <c r="M30" i="22"/>
  <c r="M31" i="22"/>
  <c r="M32" i="22"/>
  <c r="M33" i="22"/>
  <c r="M34" i="22"/>
  <c r="M35" i="22"/>
  <c r="M36" i="22"/>
  <c r="M37" i="22"/>
  <c r="M38" i="22"/>
  <c r="M40" i="22"/>
  <c r="M41" i="22"/>
  <c r="M42" i="22"/>
  <c r="M43" i="22"/>
  <c r="M47" i="22"/>
  <c r="M48" i="22"/>
  <c r="M49" i="22"/>
  <c r="M50" i="22"/>
  <c r="M51" i="22"/>
  <c r="M52" i="22"/>
  <c r="M62" i="22"/>
  <c r="M63" i="22"/>
  <c r="M6" i="22"/>
  <c r="K64" i="22"/>
  <c r="K82" i="22" s="1"/>
  <c r="K87" i="22" l="1"/>
  <c r="M75" i="22"/>
  <c r="M72" i="22"/>
  <c r="F28" i="22"/>
  <c r="M28" i="22" s="1"/>
  <c r="F25" i="22"/>
  <c r="M25" i="22" s="1"/>
  <c r="F24" i="22"/>
  <c r="M24" i="22" s="1"/>
  <c r="Q5" i="26"/>
  <c r="P41" i="26" l="1"/>
  <c r="P56" i="26" l="1"/>
  <c r="P57" i="26"/>
  <c r="B11" i="18" l="1"/>
  <c r="B27" i="20"/>
  <c r="K12" i="31" l="1"/>
  <c r="M12" i="30"/>
  <c r="P90" i="26" l="1"/>
  <c r="P91" i="26"/>
  <c r="P52" i="26" l="1"/>
  <c r="E66" i="18" l="1"/>
  <c r="K11" i="31" l="1"/>
  <c r="M11" i="30"/>
  <c r="E56" i="18" l="1"/>
  <c r="G72" i="22" l="1"/>
  <c r="G75" i="22"/>
  <c r="G78" i="22"/>
  <c r="K10" i="31" l="1"/>
  <c r="M13" i="30" l="1"/>
  <c r="M10" i="30" l="1"/>
  <c r="P51" i="26" l="1"/>
  <c r="P42" i="26" l="1"/>
  <c r="P60" i="26"/>
  <c r="P61" i="26"/>
  <c r="P29" i="26"/>
  <c r="P28" i="26"/>
  <c r="P27" i="26"/>
  <c r="P48" i="26"/>
  <c r="P62" i="26" l="1"/>
  <c r="P12" i="26"/>
  <c r="G67" i="22"/>
  <c r="G65" i="22"/>
  <c r="G64" i="22"/>
  <c r="E40" i="18" l="1"/>
  <c r="C58" i="5" l="1"/>
  <c r="C64" i="5"/>
  <c r="L84" i="22"/>
  <c r="L85" i="22"/>
  <c r="C8" i="4"/>
  <c r="C81" i="4"/>
  <c r="C76" i="4"/>
  <c r="C72" i="4"/>
  <c r="C67" i="4" s="1"/>
  <c r="C64" i="4"/>
  <c r="C58" i="4"/>
  <c r="C53" i="4" s="1"/>
  <c r="C35" i="4"/>
  <c r="C24" i="4"/>
  <c r="C23" i="4" s="1"/>
  <c r="C19" i="4"/>
  <c r="C15" i="4"/>
  <c r="D64" i="1"/>
  <c r="D58" i="1"/>
  <c r="D15" i="1"/>
  <c r="C75" i="4" l="1"/>
  <c r="C87" i="4" s="1"/>
  <c r="C86" i="4"/>
  <c r="C53" i="5"/>
  <c r="F86" i="22"/>
  <c r="F84" i="22"/>
  <c r="M80" i="22" l="1"/>
  <c r="M78" i="22" l="1"/>
  <c r="B19" i="18"/>
  <c r="B36" i="18" s="1"/>
  <c r="E67" i="18" l="1"/>
  <c r="P100" i="26"/>
  <c r="P99" i="26"/>
  <c r="P97" i="26" l="1"/>
  <c r="E10" i="23"/>
  <c r="F10" i="23"/>
  <c r="G10" i="23"/>
  <c r="H10" i="23"/>
  <c r="I10" i="23"/>
  <c r="J10" i="23"/>
  <c r="D10" i="23"/>
  <c r="Q103" i="26"/>
  <c r="E98" i="26"/>
  <c r="F98" i="26"/>
  <c r="G98" i="26"/>
  <c r="H98" i="26"/>
  <c r="I98" i="26"/>
  <c r="J98" i="26"/>
  <c r="K98" i="26"/>
  <c r="L98" i="26"/>
  <c r="M98" i="26"/>
  <c r="N98" i="26"/>
  <c r="O98" i="26"/>
  <c r="Q98" i="26"/>
  <c r="D98" i="26"/>
  <c r="N82" i="22"/>
  <c r="E86" i="22"/>
  <c r="H86" i="22"/>
  <c r="I86" i="22"/>
  <c r="J86" i="22"/>
  <c r="L86" i="22"/>
  <c r="D86" i="22"/>
  <c r="E78" i="22"/>
  <c r="F78" i="22"/>
  <c r="H78" i="22"/>
  <c r="I78" i="22"/>
  <c r="J78" i="22"/>
  <c r="L78" i="22"/>
  <c r="D78" i="22"/>
  <c r="E68" i="22"/>
  <c r="F68" i="22"/>
  <c r="H68" i="22"/>
  <c r="I68" i="22"/>
  <c r="J68" i="22"/>
  <c r="L68" i="22"/>
  <c r="D68" i="22"/>
  <c r="D14" i="30"/>
  <c r="J16" i="31"/>
  <c r="I16" i="31"/>
  <c r="H16" i="31"/>
  <c r="G16" i="31"/>
  <c r="F16" i="31"/>
  <c r="E16" i="31"/>
  <c r="D16" i="31"/>
  <c r="J15" i="31"/>
  <c r="I15" i="31"/>
  <c r="H15" i="31"/>
  <c r="G15" i="31"/>
  <c r="F15" i="31"/>
  <c r="E15" i="31"/>
  <c r="D15" i="31"/>
  <c r="J14" i="31"/>
  <c r="I14" i="31"/>
  <c r="H14" i="31"/>
  <c r="G14" i="31"/>
  <c r="F14" i="31"/>
  <c r="E14" i="31"/>
  <c r="D14" i="31"/>
  <c r="K13" i="31"/>
  <c r="K9" i="31"/>
  <c r="K8" i="31"/>
  <c r="K7" i="31"/>
  <c r="K6" i="31"/>
  <c r="K15" i="31" s="1"/>
  <c r="L16" i="30"/>
  <c r="K16" i="30"/>
  <c r="J16" i="30"/>
  <c r="I16" i="30"/>
  <c r="H16" i="30"/>
  <c r="G16" i="30"/>
  <c r="F16" i="30"/>
  <c r="E16" i="30"/>
  <c r="D16" i="30"/>
  <c r="L15" i="30"/>
  <c r="K15" i="30"/>
  <c r="J15" i="30"/>
  <c r="I15" i="30"/>
  <c r="H15" i="30"/>
  <c r="G15" i="30"/>
  <c r="F15" i="30"/>
  <c r="E15" i="30"/>
  <c r="D15" i="30"/>
  <c r="N14" i="30"/>
  <c r="L14" i="30"/>
  <c r="K14" i="30"/>
  <c r="J14" i="30"/>
  <c r="I14" i="30"/>
  <c r="H14" i="30"/>
  <c r="G14" i="30"/>
  <c r="F14" i="30"/>
  <c r="E14" i="30"/>
  <c r="O14" i="30"/>
  <c r="M9" i="30"/>
  <c r="M8" i="30"/>
  <c r="M7" i="30"/>
  <c r="M6" i="30"/>
  <c r="M15" i="30" s="1"/>
  <c r="K16" i="31" l="1"/>
  <c r="M14" i="30"/>
  <c r="M16" i="30"/>
  <c r="P98" i="26"/>
  <c r="K14" i="31"/>
  <c r="P63" i="26"/>
  <c r="P64" i="26"/>
  <c r="P74" i="26"/>
  <c r="P49" i="26" l="1"/>
  <c r="P50" i="26" l="1"/>
  <c r="P47" i="26" l="1"/>
  <c r="K88" i="26" l="1"/>
  <c r="K105" i="26" s="1"/>
  <c r="K87" i="26"/>
  <c r="K103" i="26" s="1"/>
  <c r="K75" i="26"/>
  <c r="K101" i="26" s="1"/>
  <c r="P26" i="26" l="1"/>
  <c r="P6" i="26" l="1"/>
  <c r="P7" i="26"/>
  <c r="E19" i="2" l="1"/>
  <c r="C19" i="7"/>
  <c r="E14" i="7"/>
  <c r="E20" i="7" s="1"/>
  <c r="C14" i="7"/>
  <c r="C21" i="7" l="1"/>
  <c r="C20" i="7"/>
  <c r="C19" i="2"/>
  <c r="E14" i="2"/>
  <c r="C31" i="4"/>
  <c r="C33" i="4"/>
  <c r="C44" i="4"/>
  <c r="C45" i="4"/>
  <c r="C46" i="4"/>
  <c r="C93" i="6"/>
  <c r="C34" i="4" l="1"/>
  <c r="E20" i="2"/>
  <c r="C21" i="2"/>
  <c r="C20" i="2"/>
  <c r="C22" i="2" s="1"/>
  <c r="C47" i="4"/>
  <c r="C48" i="4" s="1"/>
  <c r="E22" i="7"/>
  <c r="C22" i="7"/>
  <c r="E104" i="26"/>
  <c r="F104" i="26"/>
  <c r="G104" i="26"/>
  <c r="H104" i="26"/>
  <c r="I104" i="26"/>
  <c r="J104" i="26"/>
  <c r="K104" i="26"/>
  <c r="K106" i="26" s="1"/>
  <c r="L104" i="26"/>
  <c r="M104" i="26"/>
  <c r="N104" i="26"/>
  <c r="O104" i="26"/>
  <c r="D23" i="1"/>
  <c r="C14" i="8" l="1"/>
  <c r="P35" i="26" l="1"/>
  <c r="P8" i="26"/>
  <c r="Q104" i="26" l="1"/>
  <c r="F10" i="27"/>
  <c r="G10" i="27"/>
  <c r="H10" i="27"/>
  <c r="I10" i="27"/>
  <c r="J10" i="27"/>
  <c r="K10" i="27"/>
  <c r="L10" i="27"/>
  <c r="E10" i="27"/>
  <c r="D10" i="27"/>
  <c r="P19" i="26"/>
  <c r="P75" i="26" s="1"/>
  <c r="D104" i="26"/>
  <c r="D27" i="20" l="1"/>
  <c r="D56" i="18" l="1"/>
  <c r="B56" i="18"/>
  <c r="F57" i="18" l="1"/>
  <c r="F58" i="18"/>
  <c r="F59" i="18"/>
  <c r="D48" i="18"/>
  <c r="D67" i="18" s="1"/>
  <c r="B67" i="18"/>
  <c r="F37" i="18" l="1"/>
  <c r="F41" i="18"/>
  <c r="F60" i="18"/>
  <c r="F61" i="18"/>
  <c r="F62" i="18"/>
  <c r="F63" i="18"/>
  <c r="F27" i="20" l="1"/>
  <c r="F67" i="18" l="1"/>
  <c r="L9" i="29" l="1"/>
  <c r="K9" i="29"/>
  <c r="J9" i="29"/>
  <c r="I9" i="29"/>
  <c r="H9" i="29"/>
  <c r="G9" i="29"/>
  <c r="F9" i="29"/>
  <c r="E9" i="29"/>
  <c r="D9" i="29"/>
  <c r="L8" i="29"/>
  <c r="K8" i="29"/>
  <c r="J8" i="29"/>
  <c r="I8" i="29"/>
  <c r="H8" i="29"/>
  <c r="G8" i="29"/>
  <c r="F8" i="29"/>
  <c r="E8" i="29"/>
  <c r="D8" i="29"/>
  <c r="O7" i="29"/>
  <c r="N7" i="29"/>
  <c r="L7" i="29"/>
  <c r="K7" i="29"/>
  <c r="J7" i="29"/>
  <c r="I7" i="29"/>
  <c r="H7" i="29"/>
  <c r="G7" i="29"/>
  <c r="F7" i="29"/>
  <c r="E7" i="29"/>
  <c r="D7" i="29"/>
  <c r="M9" i="29"/>
  <c r="M6" i="29"/>
  <c r="M8" i="29" s="1"/>
  <c r="L18" i="28"/>
  <c r="K18" i="28"/>
  <c r="J18" i="28"/>
  <c r="I18" i="28"/>
  <c r="H18" i="28"/>
  <c r="G18" i="28"/>
  <c r="E18" i="28"/>
  <c r="D18" i="28"/>
  <c r="L17" i="28"/>
  <c r="K17" i="28"/>
  <c r="J17" i="28"/>
  <c r="I17" i="28"/>
  <c r="H17" i="28"/>
  <c r="G17" i="28"/>
  <c r="F17" i="28"/>
  <c r="E17" i="28"/>
  <c r="D17" i="28"/>
  <c r="N16" i="28"/>
  <c r="L16" i="28"/>
  <c r="K16" i="28"/>
  <c r="J16" i="28"/>
  <c r="I16" i="28"/>
  <c r="H16" i="28"/>
  <c r="G16" i="28"/>
  <c r="E16" i="28"/>
  <c r="D16" i="28"/>
  <c r="M15" i="28"/>
  <c r="M14" i="28"/>
  <c r="M13" i="28"/>
  <c r="M12" i="28"/>
  <c r="O11" i="28"/>
  <c r="O16" i="28" s="1"/>
  <c r="M11" i="28"/>
  <c r="M10" i="28"/>
  <c r="M9" i="28"/>
  <c r="M8" i="28"/>
  <c r="M7" i="28"/>
  <c r="M6" i="28"/>
  <c r="L9" i="27"/>
  <c r="K9" i="27"/>
  <c r="J9" i="27"/>
  <c r="I9" i="27"/>
  <c r="H9" i="27"/>
  <c r="G9" i="27"/>
  <c r="F9" i="27"/>
  <c r="E9" i="27"/>
  <c r="O8" i="27"/>
  <c r="N8" i="27"/>
  <c r="L8" i="27"/>
  <c r="K8" i="27"/>
  <c r="J8" i="27"/>
  <c r="I8" i="27"/>
  <c r="H8" i="27"/>
  <c r="G8" i="27"/>
  <c r="F8" i="27"/>
  <c r="E8" i="27"/>
  <c r="M7" i="27"/>
  <c r="D9" i="27"/>
  <c r="P96" i="26"/>
  <c r="Q95" i="26"/>
  <c r="O95" i="26"/>
  <c r="N95" i="26"/>
  <c r="M95" i="26"/>
  <c r="L95" i="26"/>
  <c r="J95" i="26"/>
  <c r="I95" i="26"/>
  <c r="H95" i="26"/>
  <c r="G95" i="26"/>
  <c r="F95" i="26"/>
  <c r="E95" i="26"/>
  <c r="D95" i="26"/>
  <c r="P94" i="26"/>
  <c r="P93" i="26"/>
  <c r="Q92" i="26"/>
  <c r="O92" i="26"/>
  <c r="N92" i="26"/>
  <c r="M92" i="26"/>
  <c r="L92" i="26"/>
  <c r="J92" i="26"/>
  <c r="I92" i="26"/>
  <c r="H92" i="26"/>
  <c r="G92" i="26"/>
  <c r="F92" i="26"/>
  <c r="E92" i="26"/>
  <c r="D92" i="26"/>
  <c r="P104" i="26"/>
  <c r="Q89" i="26"/>
  <c r="O89" i="26"/>
  <c r="N89" i="26"/>
  <c r="M89" i="26"/>
  <c r="L89" i="26"/>
  <c r="J89" i="26"/>
  <c r="I89" i="26"/>
  <c r="H89" i="26"/>
  <c r="G89" i="26"/>
  <c r="F89" i="26"/>
  <c r="E89" i="26"/>
  <c r="D89" i="26"/>
  <c r="Q88" i="26"/>
  <c r="Q105" i="26" s="1"/>
  <c r="O88" i="26"/>
  <c r="O105" i="26" s="1"/>
  <c r="M88" i="26"/>
  <c r="M105" i="26" s="1"/>
  <c r="J88" i="26"/>
  <c r="J105" i="26" s="1"/>
  <c r="I88" i="26"/>
  <c r="I105" i="26" s="1"/>
  <c r="G88" i="26"/>
  <c r="G105" i="26" s="1"/>
  <c r="F88" i="26"/>
  <c r="F105" i="26" s="1"/>
  <c r="E88" i="26"/>
  <c r="E105" i="26" s="1"/>
  <c r="D88" i="26"/>
  <c r="D105" i="26" s="1"/>
  <c r="O87" i="26"/>
  <c r="O103" i="26" s="1"/>
  <c r="N87" i="26"/>
  <c r="N103" i="26" s="1"/>
  <c r="M87" i="26"/>
  <c r="M103" i="26" s="1"/>
  <c r="J87" i="26"/>
  <c r="J103" i="26" s="1"/>
  <c r="I87" i="26"/>
  <c r="I103" i="26" s="1"/>
  <c r="F87" i="26"/>
  <c r="F103" i="26" s="1"/>
  <c r="E87" i="26"/>
  <c r="E103" i="26" s="1"/>
  <c r="D87" i="26"/>
  <c r="D103" i="26" s="1"/>
  <c r="Q75" i="26"/>
  <c r="O75" i="26"/>
  <c r="O101" i="26" s="1"/>
  <c r="N75" i="26"/>
  <c r="M75" i="26"/>
  <c r="M101" i="26" s="1"/>
  <c r="L75" i="26"/>
  <c r="J75" i="26"/>
  <c r="I75" i="26"/>
  <c r="G75" i="26"/>
  <c r="G101" i="26" s="1"/>
  <c r="E75" i="26"/>
  <c r="P46" i="26"/>
  <c r="P45" i="26"/>
  <c r="G87" i="26"/>
  <c r="G103" i="26" s="1"/>
  <c r="P44" i="26"/>
  <c r="P43" i="26"/>
  <c r="P40" i="26"/>
  <c r="P39" i="26"/>
  <c r="U38" i="26"/>
  <c r="H87" i="26"/>
  <c r="H103" i="26" s="1"/>
  <c r="P37" i="26"/>
  <c r="P36" i="26"/>
  <c r="P34" i="26"/>
  <c r="H88" i="26"/>
  <c r="H105" i="26" s="1"/>
  <c r="P33" i="26"/>
  <c r="P32" i="26"/>
  <c r="P31" i="26"/>
  <c r="P30" i="26"/>
  <c r="P25" i="26"/>
  <c r="P24" i="26"/>
  <c r="P23" i="26"/>
  <c r="P22" i="26"/>
  <c r="P21" i="26"/>
  <c r="P20" i="26"/>
  <c r="P17" i="26"/>
  <c r="N88" i="26"/>
  <c r="N105" i="26" s="1"/>
  <c r="P16" i="26"/>
  <c r="L88" i="26"/>
  <c r="L105" i="26" s="1"/>
  <c r="P15" i="26"/>
  <c r="F75" i="26"/>
  <c r="P14" i="26"/>
  <c r="L87" i="26"/>
  <c r="L103" i="26" s="1"/>
  <c r="J9" i="25"/>
  <c r="I9" i="25"/>
  <c r="H9" i="25"/>
  <c r="G9" i="25"/>
  <c r="F9" i="25"/>
  <c r="E9" i="25"/>
  <c r="D9" i="25"/>
  <c r="J8" i="25"/>
  <c r="I8" i="25"/>
  <c r="H8" i="25"/>
  <c r="G8" i="25"/>
  <c r="F8" i="25"/>
  <c r="E8" i="25"/>
  <c r="D8" i="25"/>
  <c r="J7" i="25"/>
  <c r="I7" i="25"/>
  <c r="H7" i="25"/>
  <c r="G7" i="25"/>
  <c r="F7" i="25"/>
  <c r="E7" i="25"/>
  <c r="D7" i="25"/>
  <c r="K9" i="25"/>
  <c r="K6" i="25"/>
  <c r="K8" i="25" s="1"/>
  <c r="I18" i="24"/>
  <c r="H18" i="24"/>
  <c r="G18" i="24"/>
  <c r="F18" i="24"/>
  <c r="E18" i="24"/>
  <c r="D18" i="24"/>
  <c r="I17" i="24"/>
  <c r="H17" i="24"/>
  <c r="G17" i="24"/>
  <c r="F17" i="24"/>
  <c r="E17" i="24"/>
  <c r="D17" i="24"/>
  <c r="I16" i="24"/>
  <c r="H16" i="24"/>
  <c r="G16" i="24"/>
  <c r="F16" i="24"/>
  <c r="E16" i="24"/>
  <c r="D16" i="24"/>
  <c r="K15" i="24"/>
  <c r="K14" i="24"/>
  <c r="K13" i="24"/>
  <c r="K12" i="24"/>
  <c r="J17" i="24"/>
  <c r="K11" i="24"/>
  <c r="K10" i="24"/>
  <c r="K9" i="24"/>
  <c r="K8" i="24"/>
  <c r="J18" i="24"/>
  <c r="K7" i="24"/>
  <c r="K6" i="24"/>
  <c r="I9" i="23"/>
  <c r="H9" i="23"/>
  <c r="G9" i="23"/>
  <c r="F9" i="23"/>
  <c r="E9" i="23"/>
  <c r="D9" i="23"/>
  <c r="I8" i="23"/>
  <c r="H8" i="23"/>
  <c r="G8" i="23"/>
  <c r="F8" i="23"/>
  <c r="E8" i="23"/>
  <c r="D8" i="23"/>
  <c r="M7" i="23"/>
  <c r="J9" i="23"/>
  <c r="K6" i="23"/>
  <c r="K10" i="23" s="1"/>
  <c r="K7" i="25" l="1"/>
  <c r="I101" i="26"/>
  <c r="N101" i="26"/>
  <c r="J101" i="26"/>
  <c r="K18" i="24"/>
  <c r="Q101" i="26"/>
  <c r="L101" i="26"/>
  <c r="F101" i="26"/>
  <c r="E101" i="26"/>
  <c r="D101" i="26"/>
  <c r="E106" i="26"/>
  <c r="Q106" i="26"/>
  <c r="M17" i="28"/>
  <c r="P92" i="26"/>
  <c r="F106" i="26"/>
  <c r="P89" i="26"/>
  <c r="P95" i="26"/>
  <c r="G106" i="26"/>
  <c r="O106" i="26"/>
  <c r="L106" i="26"/>
  <c r="D106" i="26"/>
  <c r="H106" i="26"/>
  <c r="J106" i="26"/>
  <c r="K17" i="24"/>
  <c r="M7" i="29"/>
  <c r="M18" i="28"/>
  <c r="F16" i="28"/>
  <c r="F18" i="28"/>
  <c r="M16" i="28"/>
  <c r="M6" i="27"/>
  <c r="M10" i="27" s="1"/>
  <c r="D8" i="27"/>
  <c r="I106" i="26"/>
  <c r="M106" i="26"/>
  <c r="N106" i="26"/>
  <c r="P38" i="26"/>
  <c r="H75" i="26"/>
  <c r="H101" i="26" s="1"/>
  <c r="J16" i="24"/>
  <c r="K16" i="24"/>
  <c r="K7" i="23"/>
  <c r="K9" i="23" s="1"/>
  <c r="J8" i="23"/>
  <c r="Q107" i="26" l="1"/>
  <c r="R106" i="26"/>
  <c r="P101" i="26"/>
  <c r="K8" i="23"/>
  <c r="P87" i="26"/>
  <c r="P103" i="26" s="1"/>
  <c r="P88" i="26"/>
  <c r="P105" i="26" s="1"/>
  <c r="M9" i="27"/>
  <c r="M8" i="27"/>
  <c r="P106" i="26" l="1"/>
  <c r="L75" i="22"/>
  <c r="J75" i="22"/>
  <c r="I75" i="22"/>
  <c r="H75" i="22"/>
  <c r="F75" i="22"/>
  <c r="E75" i="22"/>
  <c r="D75" i="22"/>
  <c r="L72" i="22"/>
  <c r="J72" i="22"/>
  <c r="I72" i="22"/>
  <c r="H72" i="22"/>
  <c r="F72" i="22"/>
  <c r="E72" i="22"/>
  <c r="D72" i="22"/>
  <c r="M69" i="22"/>
  <c r="M68" i="22" s="1"/>
  <c r="J67" i="22"/>
  <c r="J85" i="22" s="1"/>
  <c r="I67" i="22"/>
  <c r="I85" i="22" s="1"/>
  <c r="H67" i="22"/>
  <c r="H85" i="22" s="1"/>
  <c r="F67" i="22"/>
  <c r="F85" i="22" s="1"/>
  <c r="E85" i="22"/>
  <c r="J65" i="22"/>
  <c r="I65" i="22"/>
  <c r="H65" i="22"/>
  <c r="D65" i="22"/>
  <c r="D84" i="22" s="1"/>
  <c r="L64" i="22"/>
  <c r="L82" i="22" s="1"/>
  <c r="J64" i="22"/>
  <c r="I64" i="22"/>
  <c r="H64" i="22"/>
  <c r="H82" i="22" s="1"/>
  <c r="F64" i="22"/>
  <c r="D64" i="22"/>
  <c r="D67" i="22"/>
  <c r="D85" i="22" s="1"/>
  <c r="M85" i="22" l="1"/>
  <c r="M87" i="22" s="1"/>
  <c r="D82" i="22"/>
  <c r="F82" i="22"/>
  <c r="I82" i="22"/>
  <c r="J82" i="22"/>
  <c r="E84" i="22"/>
  <c r="E87" i="22" s="1"/>
  <c r="I84" i="22"/>
  <c r="I87" i="22" s="1"/>
  <c r="J84" i="22"/>
  <c r="J87" i="22" s="1"/>
  <c r="L87" i="22"/>
  <c r="H84" i="22"/>
  <c r="H87" i="22" s="1"/>
  <c r="D87" i="22"/>
  <c r="E64" i="22"/>
  <c r="E82" i="22" s="1"/>
  <c r="M82" i="22" l="1"/>
  <c r="C82" i="6"/>
  <c r="C77" i="6"/>
  <c r="C87" i="6" s="1"/>
  <c r="C68" i="6"/>
  <c r="C54" i="6"/>
  <c r="C76" i="6" s="1"/>
  <c r="C88" i="6" s="1"/>
  <c r="C42" i="6"/>
  <c r="C36" i="6"/>
  <c r="C48" i="6" s="1"/>
  <c r="C23" i="6"/>
  <c r="C19" i="6"/>
  <c r="C15" i="6"/>
  <c r="C8" i="6"/>
  <c r="C35" i="6" s="1"/>
  <c r="C81" i="5"/>
  <c r="C76" i="5"/>
  <c r="C86" i="5" s="1"/>
  <c r="C67" i="5"/>
  <c r="C41" i="5"/>
  <c r="C35" i="5"/>
  <c r="C23" i="5"/>
  <c r="C19" i="5"/>
  <c r="C8" i="5"/>
  <c r="D81" i="1"/>
  <c r="D76" i="1"/>
  <c r="D67" i="1"/>
  <c r="D53" i="1"/>
  <c r="D41" i="1"/>
  <c r="D35" i="1"/>
  <c r="D19" i="1"/>
  <c r="D8" i="1"/>
  <c r="C47" i="5" l="1"/>
  <c r="C92" i="5" s="1"/>
  <c r="D34" i="1"/>
  <c r="C75" i="5"/>
  <c r="C87" i="5" s="1"/>
  <c r="D75" i="1"/>
  <c r="C49" i="6"/>
  <c r="C92" i="6"/>
  <c r="D47" i="1"/>
  <c r="C34" i="5"/>
  <c r="D86" i="1"/>
  <c r="C48" i="5" l="1"/>
  <c r="C91" i="5"/>
  <c r="C91" i="4"/>
  <c r="D87" i="1"/>
  <c r="D92" i="1"/>
  <c r="C92" i="4"/>
  <c r="D48" i="1"/>
  <c r="D91" i="1"/>
</calcChain>
</file>

<file path=xl/sharedStrings.xml><?xml version="1.0" encoding="utf-8"?>
<sst xmlns="http://schemas.openxmlformats.org/spreadsheetml/2006/main" count="2280" uniqueCount="618">
  <si>
    <t>Medgyesegyháza Városi Önkormányzat</t>
  </si>
  <si>
    <t>BEVÉTELEK</t>
  </si>
  <si>
    <t>Ezer forintban</t>
  </si>
  <si>
    <t>Bevételi jogcímek</t>
  </si>
  <si>
    <t>1.</t>
  </si>
  <si>
    <t>Sor-
szám</t>
  </si>
  <si>
    <t>2.</t>
  </si>
  <si>
    <t>1.1.</t>
  </si>
  <si>
    <t>1.2.</t>
  </si>
  <si>
    <t>1.3.</t>
  </si>
  <si>
    <t>1.4.</t>
  </si>
  <si>
    <t>1.5.</t>
  </si>
  <si>
    <t>1.6.</t>
  </si>
  <si>
    <t>2.1.</t>
  </si>
  <si>
    <t>2.2.</t>
  </si>
  <si>
    <t>2.3.</t>
  </si>
  <si>
    <t>3.</t>
  </si>
  <si>
    <t>Önkormányzatok működési támogatásai (1.1+……+1.6.)</t>
  </si>
  <si>
    <t>3.1.</t>
  </si>
  <si>
    <t>3.2.</t>
  </si>
  <si>
    <t>3.3.</t>
  </si>
  <si>
    <t>4.</t>
  </si>
  <si>
    <t>Közhatalmi bevételek (4.1+4.2.+4.3.+4.4.)</t>
  </si>
  <si>
    <t>4.1.</t>
  </si>
  <si>
    <t>4.1.1.</t>
  </si>
  <si>
    <t>4.1.2.</t>
  </si>
  <si>
    <t>4.1.3.</t>
  </si>
  <si>
    <t>4.2.</t>
  </si>
  <si>
    <t>4.3.</t>
  </si>
  <si>
    <t>4.4.</t>
  </si>
  <si>
    <t>5.</t>
  </si>
  <si>
    <t>Helyi önkormányzatok működésének általános támogatása</t>
  </si>
  <si>
    <t>Önkormányzatok egyes köznevelési feladatainak támogatása</t>
  </si>
  <si>
    <t>Önkormányzatok szociális és gyermjóléti feladatainak támogatása</t>
  </si>
  <si>
    <t>Önkormányzatok kulturális feladatainak támogatása</t>
  </si>
  <si>
    <t>Működési célú költségvetési támogatások és kiegészítő támogatások</t>
  </si>
  <si>
    <t>Elszámolásból származő bevételek</t>
  </si>
  <si>
    <t>Elvonások és befizetések bevételei</t>
  </si>
  <si>
    <t>Egyéb működési célú támogatások bevételei</t>
  </si>
  <si>
    <t>2.2.-ből EU-s támogatás</t>
  </si>
  <si>
    <t>Működési célú támogatások ÁHT-n belülről (2.1+2.2.)</t>
  </si>
  <si>
    <t>Felhalmozási célú önkormányzati támogatások</t>
  </si>
  <si>
    <t>Egyéb felhalmozási célú támogatások</t>
  </si>
  <si>
    <t>3.2.-ből EU-s támogatás</t>
  </si>
  <si>
    <t>Felhalmozási célú támogatások ÁHT-n belülről (3.1.+3.2.)</t>
  </si>
  <si>
    <t>Helyi adók (4.1.1.+….+4.1.3)</t>
  </si>
  <si>
    <t>Vagyoni típusú adók</t>
  </si>
  <si>
    <t>Termékek és szolgáltatások adói</t>
  </si>
  <si>
    <t>Értékesítési és forgalmi adók (iparűzési adó)</t>
  </si>
  <si>
    <t>Gépjárműadó</t>
  </si>
  <si>
    <t>Egyéb áruhasználati és szolgáltatási adók</t>
  </si>
  <si>
    <t>Egyéb közhatalmi bevételek</t>
  </si>
  <si>
    <t xml:space="preserve">Működési bevételek </t>
  </si>
  <si>
    <t>6.</t>
  </si>
  <si>
    <t>Felhalmozási bevételek</t>
  </si>
  <si>
    <t>7.</t>
  </si>
  <si>
    <t>Működési célő átvett pénzeszközök</t>
  </si>
  <si>
    <t>8.</t>
  </si>
  <si>
    <t>Felhalmozási célú átvett pénzeszközök</t>
  </si>
  <si>
    <t>9.</t>
  </si>
  <si>
    <t>10.</t>
  </si>
  <si>
    <t>Hitel-, kölcsönfelévtel államháztartáson kívülről (10.1+…+10.3</t>
  </si>
  <si>
    <t>10.1.</t>
  </si>
  <si>
    <t>Hosszú lejűratú hitelek, kölcsönök felvétele</t>
  </si>
  <si>
    <t>10.2.</t>
  </si>
  <si>
    <t>Likviditási célú hitelek, kölcsönök felvétele pénzügyi vállalkozástól</t>
  </si>
  <si>
    <t>10.3.</t>
  </si>
  <si>
    <t>Rövid lejáratú hitelek, kölcsönök felvétele</t>
  </si>
  <si>
    <t>11.</t>
  </si>
  <si>
    <t>Belföldi értékpapírok bevételei</t>
  </si>
  <si>
    <t>12.</t>
  </si>
  <si>
    <t>Előző évi költségvetési maradvány igánybe vétele</t>
  </si>
  <si>
    <t>13.</t>
  </si>
  <si>
    <t>Belföldi finanszírozás bevételei (13.1.+13.2.)</t>
  </si>
  <si>
    <t>13.1.</t>
  </si>
  <si>
    <t>Államháztartáson belüli megelőlegezések</t>
  </si>
  <si>
    <t>13.2.</t>
  </si>
  <si>
    <t>Államháztartáson belüli megelőlegezések törlesztése</t>
  </si>
  <si>
    <t>14.</t>
  </si>
  <si>
    <t>Külföldi finanszírozás bevételei</t>
  </si>
  <si>
    <t>15.</t>
  </si>
  <si>
    <t>Váltóbevételek</t>
  </si>
  <si>
    <t xml:space="preserve">16. </t>
  </si>
  <si>
    <t>Adóssághoz nem kapcsolódó származékos ügyletek bevételei</t>
  </si>
  <si>
    <t>17.</t>
  </si>
  <si>
    <t>FINANSZÍROZÁSI BEVÉTELEK ÖSSZESEN:(10.+…+16.)</t>
  </si>
  <si>
    <t>18.</t>
  </si>
  <si>
    <t>KÖLTSÉGVETÉSI ÉS FINANSZÍROZÁSI BEVÉTELEK
ÖSSZESEN: (9.+17.)</t>
  </si>
  <si>
    <t>1.  számú táblázat</t>
  </si>
  <si>
    <t>KIADÁSOK</t>
  </si>
  <si>
    <t>2. számú táblázat</t>
  </si>
  <si>
    <t>Kiadási jogcímek</t>
  </si>
  <si>
    <t>Személyi juttatások</t>
  </si>
  <si>
    <t>Munkaadókat terhelő járulékok és szochó</t>
  </si>
  <si>
    <t>Dologi kiadások</t>
  </si>
  <si>
    <t>Ellátottak pénzbeli juttatásai</t>
  </si>
  <si>
    <t>Egyéb működési célú kiadások</t>
  </si>
  <si>
    <t>1.5.-ből Előző évi elszámolásből származó befizetések</t>
  </si>
  <si>
    <t>1.7.</t>
  </si>
  <si>
    <t>1.8.</t>
  </si>
  <si>
    <t>1.9.</t>
  </si>
  <si>
    <t>1.10.</t>
  </si>
  <si>
    <t>1.11.</t>
  </si>
  <si>
    <t>Tartalékok</t>
  </si>
  <si>
    <t xml:space="preserve">             Törvényi előírásokon alapuló befizetések</t>
  </si>
  <si>
    <t>1.12.</t>
  </si>
  <si>
    <t>1.11.-ből: Általános tartalék</t>
  </si>
  <si>
    <t>1.13.</t>
  </si>
  <si>
    <t xml:space="preserve">                 Céltartalék</t>
  </si>
  <si>
    <t>Működési költségvetés kiadásai (1.1.+…+1.5.+1.11.)</t>
  </si>
  <si>
    <t>Beruházások</t>
  </si>
  <si>
    <t>2.2</t>
  </si>
  <si>
    <t>2.1.-ből EU-s forrásból megvalósuló beruházás</t>
  </si>
  <si>
    <t>Felújítások</t>
  </si>
  <si>
    <t>2.4.</t>
  </si>
  <si>
    <t>2.3.-ból EU-s forrásból megvalósuló felújítás</t>
  </si>
  <si>
    <t>2.5.</t>
  </si>
  <si>
    <t>Egyéb felhalmozási kiadások</t>
  </si>
  <si>
    <t>2.6.</t>
  </si>
  <si>
    <t>2.5.-ből Egyéb felhalmozási kiadás ÁHT-n belülre</t>
  </si>
  <si>
    <t>2.7.</t>
  </si>
  <si>
    <t xml:space="preserve">              Egyéb felhalmozási kiadás ÁHT-n kívülre</t>
  </si>
  <si>
    <t>Felhalmozási költségvetési kiadások (2.1.+2.3.+2.5.)</t>
  </si>
  <si>
    <t>KÖLTSÉGVETÉSI KIADÁSOK ÖSSZESEN: (1.+2.)</t>
  </si>
  <si>
    <t>Hosszú lejáratú hitelek, kölcsönök törlesztése pü vállalkozásoknak</t>
  </si>
  <si>
    <t>Likviditási célú hitelek, kölcsönök törlesztése pü vállalkozásoknak</t>
  </si>
  <si>
    <t>Rövid lejáratú hitelek, kölcsönök törlesztése pü vállalkozásoknak</t>
  </si>
  <si>
    <t>Hitel-, kölcsöntörlesztés államháztartáson kívülre (4.1.+…+4.3.)</t>
  </si>
  <si>
    <t>Belföldi értékpapírok vásárlásai</t>
  </si>
  <si>
    <t>6.1.</t>
  </si>
  <si>
    <t>Államháztartáson belüli megelőlegezések visszafizetése</t>
  </si>
  <si>
    <t>Belföldi finanszírozás kiadásai (=6.1.)</t>
  </si>
  <si>
    <t>Külföldi finanszírozás kiadásai</t>
  </si>
  <si>
    <t>Adóssághoz nem kapcsolódó származékos  ügyletek</t>
  </si>
  <si>
    <t xml:space="preserve">9. </t>
  </si>
  <si>
    <t>Váltókiadások</t>
  </si>
  <si>
    <t>FINANSZÍROZÁSI KIADÁSOK ÖSSZESEN: (4.+…+9.)</t>
  </si>
  <si>
    <t>KIADÁSOK ÖSSZESEN: (3+10)</t>
  </si>
  <si>
    <t>KÖLTSÉGVETÉSI BEVÉTELEK ÖSSZESEN: (1+…+8)</t>
  </si>
  <si>
    <t xml:space="preserve">             Elvonások befizetések</t>
  </si>
  <si>
    <t xml:space="preserve">             Egyéb működési célú támogatások ÁHT-n belülre</t>
  </si>
  <si>
    <t xml:space="preserve">             Egyéb működési célú támogatások ÁHT-n kívülre</t>
  </si>
  <si>
    <t>KÖLTSÉGVETÉSI, FINANSZÍROZOZÁSI BEVÉTELEK ÉS KIADÁSOK EGYENLEGE</t>
  </si>
  <si>
    <t>3. számú táblázat</t>
  </si>
  <si>
    <t>Költségvetési hiány, többlet (költségvetési bevételek 9. sor -
 költségvetési kiadások 3. sor) (+/-)</t>
  </si>
  <si>
    <t>Finanszírozási bevételek kiadások egyenlege (finanszírozási bevételek 17. sor - finanszírozási kiadások 10. sor) (+/-)</t>
  </si>
  <si>
    <t>I. Működési bevételek és kiadások mérlege</t>
  </si>
  <si>
    <t>(önkormányzati szinten)</t>
  </si>
  <si>
    <t>Bevétel</t>
  </si>
  <si>
    <t>Kiadás</t>
  </si>
  <si>
    <t>A</t>
  </si>
  <si>
    <t>C</t>
  </si>
  <si>
    <t>D</t>
  </si>
  <si>
    <t>E</t>
  </si>
  <si>
    <t>Önkormányzatok működési támogatásai</t>
  </si>
  <si>
    <t>Működési célú támogatások ÁHT-n belülről</t>
  </si>
  <si>
    <t>Munkaadókat terhelő járulékok és SZOCHÓ</t>
  </si>
  <si>
    <t>16.</t>
  </si>
  <si>
    <t>2.-ből EU-s támogatás</t>
  </si>
  <si>
    <t>Közhatalmi bevételek</t>
  </si>
  <si>
    <t>Működési bevételek</t>
  </si>
  <si>
    <t>Működési célú átvett pénzeszközök</t>
  </si>
  <si>
    <t>6.-ból EU-s támogatás (közvetlen)</t>
  </si>
  <si>
    <t>Költségvetési bevételek összesen: (1.+…+6.)</t>
  </si>
  <si>
    <t>Költségvetési kiadások összesen: (1.+…+6)</t>
  </si>
  <si>
    <t>Költségvetési maradvány igénybe vétele</t>
  </si>
  <si>
    <t>Likviditási célú hitelek, kölcsönök felvétele</t>
  </si>
  <si>
    <t>Hiány belső finanszírozásának bevételei (=10)</t>
  </si>
  <si>
    <t>Hiány külső finanszírozásának bevételei (=12)</t>
  </si>
  <si>
    <t>Működési célú finanszírozási bevételek összesen: (9.+11.)</t>
  </si>
  <si>
    <t>BEVÉTELEK ÖSSZESEN: (8.+13.)</t>
  </si>
  <si>
    <t>Likviditási célú hitelek törlesztése</t>
  </si>
  <si>
    <t>B</t>
  </si>
  <si>
    <t>KIADÁSOK ÖSSZESEN: (8.+13.)</t>
  </si>
  <si>
    <t>Költségvetési többlet:</t>
  </si>
  <si>
    <t>Költségvetési hiány:</t>
  </si>
  <si>
    <t>Tárgyévi hiány:</t>
  </si>
  <si>
    <t>Tárgyévi többlet:</t>
  </si>
  <si>
    <t>I .Felhalmozási célú bevételek és kiadások mérlege</t>
  </si>
  <si>
    <t xml:space="preserve">Felhalmozási célú támogatások ÁHT-n belülről </t>
  </si>
  <si>
    <t>1.-ből EU-s támogatás</t>
  </si>
  <si>
    <t>Felhalmozási célú átvett pénzeszközök átvétele</t>
  </si>
  <si>
    <t xml:space="preserve">4.-ből EU-s támogatás </t>
  </si>
  <si>
    <t>Egyéb felhalmozási célú bevételek</t>
  </si>
  <si>
    <t>1.-bőlm EU-s forrásból megvalősuló beruházás</t>
  </si>
  <si>
    <t>3.-ból EU-s forrásból megvalósuló felújítás</t>
  </si>
  <si>
    <t>Költségvetési bevételek összesen: (1.+3.+4.+6.)</t>
  </si>
  <si>
    <t>Hitelek, kölcsönök felvétele</t>
  </si>
  <si>
    <t>Hitelek törlesztése</t>
  </si>
  <si>
    <t>Felhalmozási célú finanszírozási bevételek összesen: (9.+11.)</t>
  </si>
  <si>
    <t>Felhalmozási célú finanszírozási kiadások összesen: (9.+…+12)</t>
  </si>
  <si>
    <t>Megnevezés</t>
  </si>
  <si>
    <t>Évek</t>
  </si>
  <si>
    <t>F</t>
  </si>
  <si>
    <t>Összesen
F=(C+D+E)</t>
  </si>
  <si>
    <t>Medgyesegyháza Városi Önkormányzat adósságot keletkeztető ügyletekből és kötelezettségvállalásokból 
fennálló kötelezettségei</t>
  </si>
  <si>
    <t>ÖSSZES KÖTELEZETTSÉG:</t>
  </si>
  <si>
    <t>Medgyesegyháza Városi Önkormányzat saját bevételeinek részletezése az adósságot keletkeztető ügyletekből származó tárgyévi fizetési kötelezettség megállapításához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</si>
  <si>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</si>
  <si>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</si>
  <si>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</si>
  <si>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Bírság-, pótlék- díjbevétel</t>
  </si>
  <si>
    <t>SAJÁT BEVÉTELEK ÖSSZESEN:</t>
  </si>
  <si>
    <t>Kezesség,- illetve garanciavállalással kapcsolatos megtérülés</t>
  </si>
  <si>
    <t>Tárgyi eszköz és az immateriális jószág, részvény, részesedés, vállalat értékesítéséből származó bevétel</t>
  </si>
  <si>
    <t>Fejlesztési cél leírása</t>
  </si>
  <si>
    <t>Fejlesztés várható kiadása</t>
  </si>
  <si>
    <t>ADÓSSÁGOT KELETKEZTETŐ ÜGYLETEK 
VÁRHATÓ EGYÜTTES ÖSSZEGE</t>
  </si>
  <si>
    <t>Beruházási (felhalmozási) kiadások előírányzata beruházásonként</t>
  </si>
  <si>
    <t>F=(B-D-E)</t>
  </si>
  <si>
    <t>Beruházás megnevezése</t>
  </si>
  <si>
    <t>Teljes költség</t>
  </si>
  <si>
    <t>Kivitelezés kezdési 
és befejezési éve</t>
  </si>
  <si>
    <t>Összesen:</t>
  </si>
  <si>
    <t>Felújítási kiadások előírányzata felújításonként</t>
  </si>
  <si>
    <t>Felújítás megnevezése</t>
  </si>
  <si>
    <t>Európai Uniós támogatással megvalósuló porjektek
bevételei, kiadásai, hozzájárulások</t>
  </si>
  <si>
    <t>Források</t>
  </si>
  <si>
    <t>Saját erő</t>
  </si>
  <si>
    <t xml:space="preserve">     saját erőből központi támogatás</t>
  </si>
  <si>
    <t>EU-s forrás</t>
  </si>
  <si>
    <t>Társfinanszírozás</t>
  </si>
  <si>
    <t>Hitel</t>
  </si>
  <si>
    <t>Források összesen:</t>
  </si>
  <si>
    <t>Kiadások, költségek</t>
  </si>
  <si>
    <t>Személyi jellegű</t>
  </si>
  <si>
    <t>Beruházások, beszerzések</t>
  </si>
  <si>
    <t>Adminisztratív költségek</t>
  </si>
  <si>
    <t>Kiadások, költségek összesen:</t>
  </si>
  <si>
    <t>G</t>
  </si>
  <si>
    <t>H</t>
  </si>
  <si>
    <t>I</t>
  </si>
  <si>
    <t>J</t>
  </si>
  <si>
    <t>kötelező/nem kötelező</t>
  </si>
  <si>
    <t>Kiemelt előirányzatok</t>
  </si>
  <si>
    <t>Önkormányzatok működési támogatása</t>
  </si>
  <si>
    <t>Működési célú támogatások államháztartáson belülről</t>
  </si>
  <si>
    <t>Felhalmozási célú támogatások államháztartáson belülről</t>
  </si>
  <si>
    <t>Működési célra átvett pénzeszközök</t>
  </si>
  <si>
    <t>Bevételek összesen</t>
  </si>
  <si>
    <t>2014. évi teljesítés</t>
  </si>
  <si>
    <t>kötelező</t>
  </si>
  <si>
    <t>Iparűzési adó</t>
  </si>
  <si>
    <t>Termőföld bérbeadás</t>
  </si>
  <si>
    <t>Gépjárműadó 40 %</t>
  </si>
  <si>
    <t>Talajterhelési díj</t>
  </si>
  <si>
    <t>Idegenforgalmi adó</t>
  </si>
  <si>
    <t>nem kötelező</t>
  </si>
  <si>
    <t>Önkormányzati hivatal működésének támogatása</t>
  </si>
  <si>
    <t>Zöldterület-gazdálkodással kapcsolatos feladatok ellátásának támogatása</t>
  </si>
  <si>
    <t>Közvilágítás fenntartásának támogatása</t>
  </si>
  <si>
    <t>Közutak fenntartásának támogatása</t>
  </si>
  <si>
    <t>Nem közművel összegyűjtött háztartási szennyvíz ártalmatlanítása</t>
  </si>
  <si>
    <t>Üdülőhelyi feladatok támogatása</t>
  </si>
  <si>
    <t>Óvodaműködtetési támogatás</t>
  </si>
  <si>
    <t>Települési önkormányzatok szociális feladatainak egyéb támogatása</t>
  </si>
  <si>
    <t>Gyermekétkeztetés támogatása</t>
  </si>
  <si>
    <t>Egyes szociális és gyermekjóléti feladatok támogatása</t>
  </si>
  <si>
    <t>A települési önkormányzatok szociáis szakosított ellátási feladatok tám.</t>
  </si>
  <si>
    <t>Települési önkormányzatok kulturális feladatainak támogatása</t>
  </si>
  <si>
    <t>Pénzeszköz átvétel munkaügyi Központtól START programra (értékteremtő)</t>
  </si>
  <si>
    <t>Pénzeszköz átvétel munkaügyi Központtól hosszabb távú közfoglalkoztatásra</t>
  </si>
  <si>
    <t>Pénzeszköz átvétel OEP-től</t>
  </si>
  <si>
    <t xml:space="preserve">Pénzeszköz  átvétel Pusztaottlaka önkormányzatától </t>
  </si>
  <si>
    <t xml:space="preserve">Önkormányzat bérbeadás, város és községgazdálkodás m.n.s. szolg. </t>
  </si>
  <si>
    <t>Startmunka program bevétele</t>
  </si>
  <si>
    <t>Óvodai étkeztetés</t>
  </si>
  <si>
    <t>Iskolai étkeztetés</t>
  </si>
  <si>
    <t>Alaptevékenység bevételei összesen</t>
  </si>
  <si>
    <t>Kötelező feladatok:</t>
  </si>
  <si>
    <t>Nem kötelező:</t>
  </si>
  <si>
    <t>Kötelező</t>
  </si>
  <si>
    <t>Nem kötelező</t>
  </si>
  <si>
    <t>Varázserdő Óvoda Medgyesegyháza</t>
  </si>
  <si>
    <t>Gondozási Központ Medgyesegyháza</t>
  </si>
  <si>
    <t>Összesen</t>
  </si>
  <si>
    <t>Kötelező mindösszesen:</t>
  </si>
  <si>
    <t>Nem kötelező mindösszesen:</t>
  </si>
  <si>
    <t>Mindösszesen:</t>
  </si>
  <si>
    <t>START</t>
  </si>
  <si>
    <t>Rövidszámla</t>
  </si>
  <si>
    <t>Felhalmozási célra átvett pénzeszközök</t>
  </si>
  <si>
    <t xml:space="preserve"> Finanszírozási bevételek - Támogatás működésre</t>
  </si>
  <si>
    <t>Szakfeladat</t>
  </si>
  <si>
    <t>2014. évi 
eredeti ei</t>
  </si>
  <si>
    <t>2014.évi
 teljesítés</t>
  </si>
  <si>
    <t>Önkormányzati igazgatási tevékenység</t>
  </si>
  <si>
    <t>Alaptevékenység összesen</t>
  </si>
  <si>
    <t>Kötelező:</t>
  </si>
  <si>
    <t>L</t>
  </si>
  <si>
    <t>N</t>
  </si>
  <si>
    <t>P</t>
  </si>
  <si>
    <t>Kötelező/nem kötelező</t>
  </si>
  <si>
    <t>Bevétel int. fin. nélkül</t>
  </si>
  <si>
    <t>2014. évi 
teljesítés</t>
  </si>
  <si>
    <t>Háziorvosi alapellátás</t>
  </si>
  <si>
    <t>Fogorvosi alapellátás</t>
  </si>
  <si>
    <t>Egészségügyi labor</t>
  </si>
  <si>
    <t>Család és nővédelmi eü. gondozás</t>
  </si>
  <si>
    <t>Ifjúsági- egészségügyi gondozás</t>
  </si>
  <si>
    <t xml:space="preserve">Időskorúak bentlakásos szoc. ell. </t>
  </si>
  <si>
    <t>Idősek nappali ellátása</t>
  </si>
  <si>
    <t>Szociális étkeztetés</t>
  </si>
  <si>
    <t>Házi segítségnyújtás</t>
  </si>
  <si>
    <t>Óvodai nevelés, ellátás</t>
  </si>
  <si>
    <t xml:space="preserve"> </t>
  </si>
  <si>
    <t>K</t>
  </si>
  <si>
    <t>M</t>
  </si>
  <si>
    <t>O</t>
  </si>
  <si>
    <t>Szociális hozzájárulási adó</t>
  </si>
  <si>
    <t>Önkormányzat által folyósított ellátások</t>
  </si>
  <si>
    <t>Egyéb működési célú kiadások ÁH-n kívülre</t>
  </si>
  <si>
    <t>Egyéb működési célú kiadás ÁH-n belülre</t>
  </si>
  <si>
    <t>Tartalék</t>
  </si>
  <si>
    <t>Finanszírozási kiadások</t>
  </si>
  <si>
    <t>Kiadások összesen</t>
  </si>
  <si>
    <t>Szakfeladat/Feladat</t>
  </si>
  <si>
    <t>Polgármesteri keret</t>
  </si>
  <si>
    <t>Lakóingatlanok bérbe adása</t>
  </si>
  <si>
    <t>Egyéb ösztöndíj</t>
  </si>
  <si>
    <t>Köztemetés</t>
  </si>
  <si>
    <t>Civil szervezetek működési támogatása</t>
  </si>
  <si>
    <t>Startmunka mintaprogram</t>
  </si>
  <si>
    <t>Önkormányzat üzemeltetési feladatok város-és községgazdálkodás feladatból</t>
  </si>
  <si>
    <t xml:space="preserve">Háziorvosi feladatok </t>
  </si>
  <si>
    <t>Óvodai gyermekétkeztetés</t>
  </si>
  <si>
    <t>Iskolai gyermekétkeztetés</t>
  </si>
  <si>
    <t>Kötelező/ nem kötelező</t>
  </si>
  <si>
    <t>Finanszíroszási kiadások</t>
  </si>
  <si>
    <t>2014.évi
felhasználás</t>
  </si>
  <si>
    <t>Engedélyezett létszám</t>
  </si>
  <si>
    <t>ebből: közfoglalkoztatott:</t>
  </si>
  <si>
    <t>2014.évi
 felhasználás</t>
  </si>
  <si>
    <t>Időskorúak bentlakásos szoc. ell.</t>
  </si>
  <si>
    <t xml:space="preserve">Engedélyezett létszám </t>
  </si>
  <si>
    <t>2014.évi felhasználás</t>
  </si>
  <si>
    <t xml:space="preserve">Engedélyezett létszám           </t>
  </si>
  <si>
    <t>Önkormányzat</t>
  </si>
  <si>
    <t>Kiegészító támogatás az óvodaped minősítéséből adódó többletkiadáshoz</t>
  </si>
  <si>
    <t>Gondozási Központ</t>
  </si>
  <si>
    <t>Önkormányzat összesen:</t>
  </si>
  <si>
    <t>Gondozási Központ összesen:</t>
  </si>
  <si>
    <t>Óvoda</t>
  </si>
  <si>
    <t>Óvoda összesen:</t>
  </si>
  <si>
    <t>MINDÖSSZESEN:</t>
  </si>
  <si>
    <t>Államigazgatási feladatok</t>
  </si>
  <si>
    <t>Államigazgatási</t>
  </si>
  <si>
    <t>Általános tartalék</t>
  </si>
  <si>
    <t>Köztemető fenntartás</t>
  </si>
  <si>
    <t>Szünidei gyermekétkeztetés</t>
  </si>
  <si>
    <t>Egyéb működési célú kiadások Áht-n kívülre</t>
  </si>
  <si>
    <t>államigazg</t>
  </si>
  <si>
    <t>Bankszámlák egyenlege</t>
  </si>
  <si>
    <t>Államigazgatási:</t>
  </si>
  <si>
    <t>államigazgatási</t>
  </si>
  <si>
    <t>Medgyesegyházi Polgármesteri Hivatal</t>
  </si>
  <si>
    <t>Önkormányzatok szociális és gyermekjóléti feladatainak támogatása</t>
  </si>
  <si>
    <t>Felhamozási céltartalék</t>
  </si>
  <si>
    <t>Költségvetési kiadások összesen: (1.+3.+5.+6.)</t>
  </si>
  <si>
    <t>Működési célú finanszírozási kiadások összesen: (=9.)</t>
  </si>
  <si>
    <t>Szolgáltatások igénybe vétele</t>
  </si>
  <si>
    <t>Lakott külterülettel kapcsolatos feladatok támogatása</t>
  </si>
  <si>
    <t>Óvodapedagógusok bértámogatása</t>
  </si>
  <si>
    <t>Képviselő-testület kiadásai</t>
  </si>
  <si>
    <t>Medgyesegyházi Településüzemeltetési Kft. Támogatása</t>
  </si>
  <si>
    <t>Közkifolyók kiadásai</t>
  </si>
  <si>
    <t xml:space="preserve">Tagdíjak: DAREH, Kertészek akciócsoport, </t>
  </si>
  <si>
    <t>Kistérségi társulásnak fizetendő díjak: ügyelet, belső ellenőrzés, tagdíj</t>
  </si>
  <si>
    <t>Költségvetési maradvány</t>
  </si>
  <si>
    <t>Állami támogatások és megelőlegezések  visszafizetése</t>
  </si>
  <si>
    <t>Bursa Hungarica ösztöndíj</t>
  </si>
  <si>
    <t>Hulladéklerakó rekultiválás</t>
  </si>
  <si>
    <t xml:space="preserve">Pályázatok önerejére céltartalék </t>
  </si>
  <si>
    <t>Gyógyszertámogatás</t>
  </si>
  <si>
    <t xml:space="preserve">TOP-5.2-1-15-BS1 Társadalmi együttműködés erősítését szolgáló helyi szintű </t>
  </si>
  <si>
    <t>TOP-2.1.2-15-BS1 Zöld város kialakítása</t>
  </si>
  <si>
    <t>TOP-1.4.1-15-BS1 Foglalkoztatás és életminőség javítása családbarát munkába….</t>
  </si>
  <si>
    <t>TOP-4.3.1-15-BS1 Leromlot városi területek rehabilitációja</t>
  </si>
  <si>
    <t>TOP-4.1.1-15-BS1 Egészségügyi ellátás infrastukturális fejlesztése</t>
  </si>
  <si>
    <t>Startmunka összesen:</t>
  </si>
  <si>
    <t>forintban</t>
  </si>
  <si>
    <t>Művelődési Ház és Könyvtár</t>
  </si>
  <si>
    <t>Schéner Ház</t>
  </si>
  <si>
    <t>Medgyesi Hírlap</t>
  </si>
  <si>
    <t>Medgyesi Napok</t>
  </si>
  <si>
    <t>Dinnyefesztivál</t>
  </si>
  <si>
    <t>Államigazgatási mindösszesen:</t>
  </si>
  <si>
    <t>Család és gyermekjóléti szolgáltatás</t>
  </si>
  <si>
    <t>TOP pályázatok</t>
  </si>
  <si>
    <t>TOP pályázatok összesen:</t>
  </si>
  <si>
    <t>Egyéb Felhalmozási célú kiadás ÁH-n belülre</t>
  </si>
  <si>
    <t>Önkormányzat létszáma</t>
  </si>
  <si>
    <t>Polgármester</t>
  </si>
  <si>
    <t>Képviselő</t>
  </si>
  <si>
    <t>Külsős bizottsági tag</t>
  </si>
  <si>
    <t>Közmunkaprogramban részt vevő</t>
  </si>
  <si>
    <t>Elszámolásból származó bevételek</t>
  </si>
  <si>
    <t>Engedélyezett létszámkeret</t>
  </si>
  <si>
    <t>1 fő polgármester</t>
  </si>
  <si>
    <t>6 fő képviselő</t>
  </si>
  <si>
    <t>2 fő külsős bizottsági tag</t>
  </si>
  <si>
    <t>Medgyesegyháza Polgármesteri Hivatal</t>
  </si>
  <si>
    <t>Medgyesegyháza Városi Gondozási Központ</t>
  </si>
  <si>
    <t>Medgyesegyházi Varázserdő Óvoda</t>
  </si>
  <si>
    <t>23 fő közalkalmazott</t>
  </si>
  <si>
    <t>Medgyesegyháza Városi Művelődési Ház és Könyvtár</t>
  </si>
  <si>
    <t>Polgármesteri illetmény támogatása</t>
  </si>
  <si>
    <t>Polgármesteri Hivatal</t>
  </si>
  <si>
    <t>Polgármesteri Hivatal összesen</t>
  </si>
  <si>
    <t>Pótlékok</t>
  </si>
  <si>
    <t>Bírságok</t>
  </si>
  <si>
    <t>Rászoruló gyermekek szünidei étkeztetésének támogatása</t>
  </si>
  <si>
    <t>Fejlesztési célok</t>
  </si>
  <si>
    <t>Önkormányzatok felhalmozási támogatása</t>
  </si>
  <si>
    <t>Település arculati kézikönyv</t>
  </si>
  <si>
    <t xml:space="preserve">Szennyvíz- és ivóvízhálózat gördülő tervezés miatti kiadásai </t>
  </si>
  <si>
    <t>Szennyvízszippantás 100 Ft/m3</t>
  </si>
  <si>
    <t>Lakhatási támogatás</t>
  </si>
  <si>
    <t>Krízissegély</t>
  </si>
  <si>
    <t>Temetési segély</t>
  </si>
  <si>
    <t>Hulladékszállítási díjkedvezmény</t>
  </si>
  <si>
    <t>Tüzelőanyag természetbeni juttatása</t>
  </si>
  <si>
    <t>Dinnyefesztivál önkományzati kiadásai</t>
  </si>
  <si>
    <t>Medgyesegyházáról kiadvány</t>
  </si>
  <si>
    <t>Egyéb rendezvények</t>
  </si>
  <si>
    <t>EFOP-129 Pályázat</t>
  </si>
  <si>
    <t>Viziközmű használati díj</t>
  </si>
  <si>
    <t>Letéti számla</t>
  </si>
  <si>
    <t>Környezetvédelmi alap</t>
  </si>
  <si>
    <t>Művelődési Ház és Könyvtár összesen:</t>
  </si>
  <si>
    <t>Művelődési Ház részére bevétel átadás</t>
  </si>
  <si>
    <t>Felhasználás 
2018. XII. 31-ig</t>
  </si>
  <si>
    <t>Hosszabb távú közfoglalkoztatás</t>
  </si>
  <si>
    <t>Előző évi költségvetési maradvány</t>
  </si>
  <si>
    <t>Finanszírozási bevételek</t>
  </si>
  <si>
    <t>Fogszakorvos VP6-19.2.1-49-3-17 pályázatának támogatása</t>
  </si>
  <si>
    <t>Nem lakóingatlan bérbeadása, üzemeltetése, rendőrörs padlózat felújítása</t>
  </si>
  <si>
    <t>1.1. melléklet a          /2019.(………………) önkormányzati rendelethez</t>
  </si>
  <si>
    <t>2019. ÉVI KÖLTSÉGVETÉSÉNEK ÖSSZEVONT MÉRLEGE (forintban)</t>
  </si>
  <si>
    <t>2019. évi előirányzat</t>
  </si>
  <si>
    <t>1.2. melléklet a          /2019.(………………) önkormányzati rendelethez</t>
  </si>
  <si>
    <t>2019. ÉVI KÖLTSÉGVETÉS KÖTELEZŐ FELADATAINAK MÉRLEGE (forintban)</t>
  </si>
  <si>
    <t>1.3. melléklet a          /2019.(………………) önkormányzati rendelethez</t>
  </si>
  <si>
    <t>2019. ÉVI KÖLTSÉGVETÉS ÖNKÉNT VÁLLALT FELADATAINAK MÉRLEGE
(forintban)</t>
  </si>
  <si>
    <t>1.4. melléklet a …….../2019.(………………) önkormányzati rendelethez</t>
  </si>
  <si>
    <t>2019. ÉVI KÖLTSÉGVETÉS ÁLLAMIGAZGATÁSI FELADATAINAK MÉRLEGE
forintban</t>
  </si>
  <si>
    <t>2.1. melléklet a              ………/2019.(………..) önkormányzati rendelethez</t>
  </si>
  <si>
    <t>2019. évi 
előirányzat</t>
  </si>
  <si>
    <t>2.2. melléklet a  ………/2019.(………..) önkormányzati rendelethez</t>
  </si>
  <si>
    <t>3.1. melléklet a ……./2019.(……………..) önkormányzati rendelethez</t>
  </si>
  <si>
    <t>Medgyesegyháza Város Önkormányzat 2019 évi bevételeinek alakulása - Önkormányzat
forintban</t>
  </si>
  <si>
    <t>3.2. melléklet ..../2019. (…...) önkormányzati rendelethez</t>
  </si>
  <si>
    <t>Medgyesegyháza Város Önkormányzat 2019. évi bevételeinek alakulása - Medgyesegyházi Polgármesteri Hivatal
forintban</t>
  </si>
  <si>
    <t>2019. évi eredeti Ei.</t>
  </si>
  <si>
    <t>3.3.  melléklet a .../2019. (....) önkormányzati rendelethez</t>
  </si>
  <si>
    <t>Medgyesegyháza Város Önkormányzat 2019. évi bevételeinek alakulása - Gondozási Központ (forintban)</t>
  </si>
  <si>
    <t>3.4.  melléklet a .../2019. (....) önkormányzati rendelethez</t>
  </si>
  <si>
    <t>Medgyesegyháza Város Önkormányzat 2019. évi bevételeinek alakulása - Varázserdő Óvoda
forintban</t>
  </si>
  <si>
    <t>3.5.  melléklet a .../2019. (....) önkormányzati rendelethez</t>
  </si>
  <si>
    <t>Medgyesegyháza Város Önkormányzat 2019. évi bevételeinek alakulása - Művelődési Ház és Könyvtár (forintban)</t>
  </si>
  <si>
    <t>4.1.  melléklet a ..../2019. (....) önkormányzati rendelethez</t>
  </si>
  <si>
    <t>Az Önkormányzat 2019. évi kiadások kiemelt előirányzatonként
forintban</t>
  </si>
  <si>
    <t>2019. előirányzat</t>
  </si>
  <si>
    <t>2019. évi bevétel</t>
  </si>
  <si>
    <t>4.2. melléklet .../2019. (...)  önkormányzati rendelethez</t>
  </si>
  <si>
    <t>Medgyesegyházi Polgármesteri Hivatal 2019. évi kiadások kiemelt előirányzatonként
forintban</t>
  </si>
  <si>
    <t>4.3. melléklet a .../2019. (....) önkormányzati rendelethez</t>
  </si>
  <si>
    <t>Gondozási Központ 2019. évi kiadások kiemelt előirányzatonként
forintban</t>
  </si>
  <si>
    <t>4.4. melléklet a .../2019. (....) önkormányzati rendelethez</t>
  </si>
  <si>
    <t>Varázserdő Óvoda 2019. évi kiadások kiemelt előirányzatonként
forintban</t>
  </si>
  <si>
    <t>4.5. melléklet a .../2019. (....) önkormányzati rendelethez</t>
  </si>
  <si>
    <t>Művelődési Ház és Könyvtár 2019. évi kiadások kiemelt előirányzatonként
forintban</t>
  </si>
  <si>
    <t>5. melléklet a ……/2019.(…………) önkormányzati rendelethez</t>
  </si>
  <si>
    <t>2019. év utáni
szükséglet</t>
  </si>
  <si>
    <t>6. melléklet a ……/2019.(…………) önkormányzati rendelethez</t>
  </si>
  <si>
    <t>7. számú melléklet a ……../2019.(………..) önkormányzati rendelethez</t>
  </si>
  <si>
    <t>2019.</t>
  </si>
  <si>
    <t>8. számú  melléklet a ………/2019.(………) önkormányzati rendelethez</t>
  </si>
  <si>
    <t>9. melléklet a ………/2019.(…………..) önkormányzati rendelethet</t>
  </si>
  <si>
    <t>Medgyesegyháza Városi Önkormányzat 2019. évi adósságot keletkeztető 
fejlesztési céljai</t>
  </si>
  <si>
    <t>10. melléklet a ……../2019.(…………) önkormányzati rendelethez</t>
  </si>
  <si>
    <t>Bocskai utca 4,0 cm vastag asztfalt kopóréteggel való ellátása</t>
  </si>
  <si>
    <t>Medgyesegyháza, Dózsa György utca 3. 
Rendőrörs padozat felújítása</t>
  </si>
  <si>
    <t>Mezőgazdasági programelem</t>
  </si>
  <si>
    <t>Nagynyomású melegvizes mosó</t>
  </si>
  <si>
    <t>További egy évebn túl elhasználódó eszközök</t>
  </si>
  <si>
    <t>VP6-7.2.1-7.4.1.2-16 Külterületi helyi utak fejlesztése</t>
  </si>
  <si>
    <t>VP6-7.2.1-7.4.1.3-17 Helyi termékértékesítést szolgáló piacok infrastukt. fejleszt.</t>
  </si>
  <si>
    <t>VP-s pályázatok</t>
  </si>
  <si>
    <t>VP6-7.2.1-7.4.1.3-17 Helyi termékértékesítést szolgáló 
piacok infrastukt. fejleszt.</t>
  </si>
  <si>
    <t>ASP rendszer kialakítása pályázat fennmaradó</t>
  </si>
  <si>
    <t>Egyéb felhalmozási célú kiadás ÁH-n kívülre</t>
  </si>
  <si>
    <t>2019.
 előirányzat</t>
  </si>
  <si>
    <t>Finanszírozási kiadás ktgvetési szerveknek</t>
  </si>
  <si>
    <t>Egyéb önkormányzati feladatok támogatása</t>
  </si>
  <si>
    <t>Éven túli célhitel törlesztése</t>
  </si>
  <si>
    <t>Rendkívüli települési támogatás - egyszeri segély</t>
  </si>
  <si>
    <t>Céltartalék</t>
  </si>
  <si>
    <t>TOP-5.1.2-15-BS1-2016-00008 Foglalkoztatási paktum</t>
  </si>
  <si>
    <t>EFOP-1.5.3-16-2017-00060 Humán közszolgáltatások fejlesztése</t>
  </si>
  <si>
    <t>EFOP-3.9.2-16-2017-00025 Humán kapacitások fejlesztése</t>
  </si>
  <si>
    <t>TOP-5.3.1-16-BS1-2017-00006 A helyi identitás és a kohézió erősítése</t>
  </si>
  <si>
    <t>2019. évi eredeti ei.</t>
  </si>
  <si>
    <t>2019. évi 
eredeti ei.</t>
  </si>
  <si>
    <t>2020.</t>
  </si>
  <si>
    <t>2020. után</t>
  </si>
  <si>
    <t>EU-s projekt neve, azonosítója: VP6-7.2.1-7.4.1.3-17 Helyi termékértékesítést szolgáló piacok infrastrukturális fejlesztése</t>
  </si>
  <si>
    <t>EU-s projekt neve, azonosítója: VP6-7.2.1-7.4.1.2-16 Külterületi helyi közutak fejlesztése</t>
  </si>
  <si>
    <t>Sportcsarnok és uszoda használati díja</t>
  </si>
  <si>
    <t>Hosszabb távú  közfoglalkozatatott 2019. február 28-ig</t>
  </si>
  <si>
    <t>2019.03.01
2020.02.28</t>
  </si>
  <si>
    <t>2018.03.01
2019.02.28</t>
  </si>
  <si>
    <t>Rehabos foglalkoztatott 2019. április 30-ig</t>
  </si>
  <si>
    <t>ebből: közfoglalkoztatott 2019. február 28-ig</t>
  </si>
  <si>
    <r>
      <t>Katolikus temető 20 férőhelyes parkoló kialakítása 682 m</t>
    </r>
    <r>
      <rPr>
        <vertAlign val="superscript"/>
        <sz val="9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 xml:space="preserve"> </t>
    </r>
  </si>
  <si>
    <r>
      <t>Evangélikus temető 20 férőhelyes parkoló kialakítása 649 m</t>
    </r>
    <r>
      <rPr>
        <vertAlign val="superscript"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 xml:space="preserve"> </t>
    </r>
  </si>
  <si>
    <r>
      <t>Bánkút Petőfi utca útalap készítés 686 m</t>
    </r>
    <r>
      <rPr>
        <vertAlign val="superscript"/>
        <sz val="10"/>
        <rFont val="Times New Roman"/>
        <family val="1"/>
        <charset val="238"/>
      </rPr>
      <t>2</t>
    </r>
  </si>
  <si>
    <t>EU-s projekt neve, azonosítója: TOP-5.3.1-16-BS1-2017-00006 A helyi identitás és kohézió erősítése</t>
  </si>
  <si>
    <t>EU-s projekt neve, azonosítója: TOP-2.1.2-15-BS1-2016-00014 Zöld város</t>
  </si>
  <si>
    <t>EU-s projekt neve, azonosítója: TOP-1.4.1-15-BS1-2016-00014 Foglalkoztatás és életminőség javítása családbarát munkába….</t>
  </si>
  <si>
    <t>TOP-4.3.1-15-BS1 Lászlótelep szegregátum felszámolása Medgyesegyházán</t>
  </si>
  <si>
    <t>EU-s projekt neve, azonosítója: TOP-4.3.1-15-BS1-2016-00002 Lászlótelep szegregátum felszámolása Medgyesegyházán</t>
  </si>
  <si>
    <t>EU-s projekt neve, azonosítója: TOP-4.1.1-15-BS1-2016-00028 Egészségügyi alapellátás infratrukturális fejlesztése</t>
  </si>
  <si>
    <t>EU-s projekt neve, azonosítója: EFOP-1.5.3-16-20017-00060 Komplex humán szolgáltatások fejlesztése</t>
  </si>
  <si>
    <t>EU-s projekt neve, azonosítója: EFOP-3.9.2-16-2017-00025 Humán kapacitások fejlesztése</t>
  </si>
  <si>
    <t>EU-s projekt neve, azonosítója: TOP-5.2.1-15-BS1-2016-00007 Társadalmi együttműködés erősítését szolgáló helyi szintű komlex programok</t>
  </si>
  <si>
    <t>EU-s projekt neve, azonosítója: TOP-5.1.2-15-BS1-2016-00008 Foglalkoztatási paktum</t>
  </si>
  <si>
    <t>Futás nevezési díja</t>
  </si>
  <si>
    <t>Közvilágítás, Medgyesegyháza, Damjanich utca 62. előtt lévő 
oszlopra közvilágítási lámpatest felszerelése</t>
  </si>
  <si>
    <t>TOP-3.2.1-16 Önkormányzati épületek energetikai korszerűsítése</t>
  </si>
  <si>
    <t>Óvoda kerítés felújítása</t>
  </si>
  <si>
    <t>Udvari Játék + tanúsítvány</t>
  </si>
  <si>
    <t>Konyhába légkondicionáló</t>
  </si>
  <si>
    <t>Emeleten iratoknak szekrény készítése</t>
  </si>
  <si>
    <t>Karbantartáshoz szerszámok (pl.. Sövényxvágó)</t>
  </si>
  <si>
    <t>Csoport szobai fejlesztő játékok</t>
  </si>
  <si>
    <t>Függönyök, sötétítők folyamatos cseréje</t>
  </si>
  <si>
    <t>Házigondozóknak 4 db kerékpár vásárlás</t>
  </si>
  <si>
    <t>Szociális étkeztetéshez 2 db kerékpár vásárlás</t>
  </si>
  <si>
    <t>Felújított rendelőkbe szekrények, polcok készítése</t>
  </si>
  <si>
    <t>30 db párna, 30 db paplan, 30 db pléd 15ablakra függöny
és sötétítő vásárlása</t>
  </si>
  <si>
    <t>Nappali ellátásba egy éven túl elhasználódó eszköz</t>
  </si>
  <si>
    <t>VP-s pályázatok összesen:</t>
  </si>
  <si>
    <t>EFOP-3.9.2-16-2017-00025 Humán kapacitások fejlesztése 
eszközbeszerzés a Kisovi és a Tanulásfejlesztő óvodai torna programokhoz kapcsolódóan</t>
  </si>
  <si>
    <t>Képviselőtestület kiadásai: 1 éven túl elhasználódó eszközök</t>
  </si>
  <si>
    <t>Damjanich utca 62. előtt  lévő oszlopra közvilágítási lámpatest felszerelése</t>
  </si>
  <si>
    <t>Város- és községgazdálkodás 1 éven túl elhasználódó eszközök</t>
  </si>
  <si>
    <t>Településarculati kézikönyv</t>
  </si>
  <si>
    <t>2017-2019</t>
  </si>
  <si>
    <t>Éven túl elhasználódó eszközök</t>
  </si>
  <si>
    <r>
      <t>Katolikus temető 20 férőhelyes parkoló kialakítása 682 m</t>
    </r>
    <r>
      <rPr>
        <vertAlign val="superscript"/>
        <sz val="12"/>
        <rFont val="Times New Roman"/>
        <family val="1"/>
        <charset val="238"/>
      </rPr>
      <t>2</t>
    </r>
  </si>
  <si>
    <t>2021.</t>
  </si>
  <si>
    <t>Belvízvédelmi terv készítése</t>
  </si>
  <si>
    <t>VP6-19.2.1-49-4-17  Rendezvényszervezési eszközök beszerzése</t>
  </si>
  <si>
    <t>VP6-19.2.1-49-1-17 Kertészeti kisgép beszerzése Medgyesegyházán</t>
  </si>
  <si>
    <t>VP6-19.1.2.1-49-6-17 Eszközbeszerzés a bánkúti Baross László Emlékházba</t>
  </si>
  <si>
    <t>VP6-19.2.1-49-1-17 Mezőgazdasági gépbeszerzés Medgyesegyháza Városi Önk. R.</t>
  </si>
  <si>
    <t>VP6-19.2.1-49-4-17 Rendezvényszervezési eszközök beszerzése 190 db szék</t>
  </si>
  <si>
    <t>Európa polgárai, testvértelepülés találkozó</t>
  </si>
  <si>
    <t xml:space="preserve">HIM-HF16 I. VH hadisírok felújítása </t>
  </si>
  <si>
    <t>KEHOP 121-Helyi klímastratégia</t>
  </si>
  <si>
    <t>Közmunkaprogram adminisztrátor</t>
  </si>
  <si>
    <t>Óvoda kerítés felújítása, 58 fm ereszcsatorna csere</t>
  </si>
  <si>
    <t>VP6-19.2.1-49-4-17 Rendezvényszervezési eszközök beszerzése</t>
  </si>
  <si>
    <t>VP6-19.1.21-49-6-17 Eszközbeszerzés a bánkúti Baross László Emlékházba</t>
  </si>
  <si>
    <t>VP6-19.2.1-49-1-17 Mezőgazdasági gépbeszerzés Medgyesegyháza Városi Önkormányzat részére</t>
  </si>
  <si>
    <t>VP6-19.2.1-49-4-17 Rendezvényszerzevezési eszközök beszerzése 190 db szék</t>
  </si>
  <si>
    <t>Belvízvédelmi terv</t>
  </si>
  <si>
    <t>KEHOP 121 Helyi klímastratégia</t>
  </si>
  <si>
    <t>Medgyesegyháza Központi Címregiszter</t>
  </si>
  <si>
    <t>Orvosi váróterembe 35 db 4 személyes szék</t>
  </si>
  <si>
    <t>HIM-HF16 I. VH hadisírok felújítása</t>
  </si>
  <si>
    <t>Óvoda épület 58 fm ereszcsatorna csere</t>
  </si>
  <si>
    <t>Idegen bevételek</t>
  </si>
  <si>
    <t>Jövedelemadók (Termőföld bérbeadás)</t>
  </si>
  <si>
    <t>Helyi adók (4.1.1.+4.1.2)</t>
  </si>
  <si>
    <t>Előző évi költségvetési maradvány igénybe vétele</t>
  </si>
  <si>
    <t>Éven túli célhitel törlesztő részlete</t>
  </si>
  <si>
    <t>EU-s projekt neve, azonosítója: TOP-3.2.1-16 Önkormányzati épületek energetikai korszerűsítése</t>
  </si>
  <si>
    <t>EU-s projekt neve, azonosítója: VP6-19.2.1-49-4-17 Rendezvényszervezési eszközök beszerzése</t>
  </si>
  <si>
    <t>Forintban</t>
  </si>
  <si>
    <t>EU-s projekt neve, azonosítója: VP6-19.2.1-49-1-17 Kertészeti kisgép beszerzése Medgyesegyházán</t>
  </si>
  <si>
    <t>EU-s projekt neve, azonosítója: VP6-19.1.2.1-49-6-17 Eszközbeszerzés a bánkúti Baross László Emlékházba</t>
  </si>
  <si>
    <t>EU-s projekt neve, azonosítója: VP6-19.2.1-49-1-17 Mezőgazdasági gépbeszerzés Medgyesegyháza Városi Önkormányzat részére</t>
  </si>
  <si>
    <t>EU-s projekt neve, azonosítója: VP6-19.2.1-49-4-17 Rendezvényszervezési eszközök beszerzése 190 db szék</t>
  </si>
  <si>
    <t>EU-s projekt neve, azonosítója: Európa polgárai, testvértelepülés találkozó</t>
  </si>
  <si>
    <t>EU-s projekt neve, azonosítója: KEHOP 121- Helyí klímastratégia</t>
  </si>
  <si>
    <t>Éven túli célhitel törlesztő részlete + kamat</t>
  </si>
  <si>
    <t>Forintban!</t>
  </si>
  <si>
    <t xml:space="preserve">rehabos foglalkoztatott 2019. március 31-ig </t>
  </si>
  <si>
    <t xml:space="preserve">         köztisztviselő</t>
  </si>
  <si>
    <t xml:space="preserve">         munkatörvénykönyves 6 órás </t>
  </si>
  <si>
    <t>Létszám</t>
  </si>
  <si>
    <t>fő</t>
  </si>
  <si>
    <t>17 + 2 négyórás</t>
  </si>
  <si>
    <t xml:space="preserve">1 fő megbízási </t>
  </si>
  <si>
    <t>3 + 1 négyórás</t>
  </si>
  <si>
    <t>1 + 1 négyórás</t>
  </si>
  <si>
    <t>közalkalmazott</t>
  </si>
  <si>
    <t xml:space="preserve">          közalkalmazott</t>
  </si>
  <si>
    <t>Éves átlag (fő)</t>
  </si>
  <si>
    <t>60 fő közmunkás 2018.03.01-2019.02.28.</t>
  </si>
  <si>
    <t>53 fő közmunkás 2019.03.01.-2020.02.29.</t>
  </si>
  <si>
    <t>1 fő közmunkaprogram adminisztrátor</t>
  </si>
  <si>
    <t>21 fő hosszabb távú közfoglalkoztatott 2019.02.28-ig</t>
  </si>
  <si>
    <t>16 fő köztisztviselő</t>
  </si>
  <si>
    <t>1 fő munkatörvénykönyves 6 órás</t>
  </si>
  <si>
    <t xml:space="preserve">29 fő közalkalmazott </t>
  </si>
  <si>
    <t>4 fő közalkalmazott 4 órás</t>
  </si>
  <si>
    <t>4 fő közalkalmazott</t>
  </si>
  <si>
    <t>1 fő rehabos foglalkoztatott 2019. március 31-ig</t>
  </si>
  <si>
    <t>3 fő közfoglalkoztatott 2019.02.28-ig</t>
  </si>
  <si>
    <t>1 fő rehabos foglalkoztatott</t>
  </si>
  <si>
    <t>2019. január 1-én engedélyezett létszámkeret</t>
  </si>
  <si>
    <t>Teljes munkaidős foglalkoztatott:              159 fő</t>
  </si>
  <si>
    <t>Választott tisztségviselő:                               8 fő</t>
  </si>
  <si>
    <t>6 órás részmunkaidős foglalkoztatott:           1 fő</t>
  </si>
  <si>
    <t>4 órás részmunkaidős foglalkoztatott:           4 fő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</si>
</sst>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.0"/>
    <numFmt numFmtId="165" formatCode="#,##0.000"/>
    <numFmt numFmtId="166" formatCode="#,##0.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i/>
      <sz val="11"/>
      <color rgb="FF000000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vertAlign val="superscript"/>
      <sz val="9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vertAlign val="superscript"/>
      <sz val="12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388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 vertical="center"/>
    </xf>
    <xf numFmtId="0" fontId="5" fillId="0" borderId="1" xfId="0" applyFont="1" applyBorder="1"/>
    <xf numFmtId="49" fontId="4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 wrapText="1"/>
    </xf>
    <xf numFmtId="0" fontId="5" fillId="0" borderId="5" xfId="0" applyFont="1" applyBorder="1"/>
    <xf numFmtId="0" fontId="4" fillId="0" borderId="8" xfId="0" applyFont="1" applyBorder="1"/>
    <xf numFmtId="0" fontId="4" fillId="0" borderId="9" xfId="0" applyFont="1" applyBorder="1"/>
    <xf numFmtId="0" fontId="5" fillId="0" borderId="11" xfId="0" applyFont="1" applyBorder="1"/>
    <xf numFmtId="0" fontId="4" fillId="0" borderId="8" xfId="0" applyFont="1" applyBorder="1" applyAlignment="1">
      <alignment wrapText="1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left"/>
    </xf>
    <xf numFmtId="49" fontId="4" fillId="0" borderId="13" xfId="0" applyNumberFormat="1" applyFont="1" applyBorder="1" applyAlignment="1">
      <alignment horizontal="center"/>
    </xf>
    <xf numFmtId="0" fontId="4" fillId="0" borderId="14" xfId="0" applyFont="1" applyBorder="1"/>
    <xf numFmtId="49" fontId="5" fillId="0" borderId="5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49" fontId="4" fillId="0" borderId="7" xfId="0" applyNumberFormat="1" applyFont="1" applyBorder="1" applyAlignment="1">
      <alignment horizontal="center" wrapText="1"/>
    </xf>
    <xf numFmtId="49" fontId="5" fillId="0" borderId="11" xfId="0" applyNumberFormat="1" applyFont="1" applyBorder="1" applyAlignment="1">
      <alignment horizontal="center"/>
    </xf>
    <xf numFmtId="49" fontId="5" fillId="0" borderId="17" xfId="0" applyNumberFormat="1" applyFont="1" applyBorder="1" applyAlignment="1">
      <alignment horizontal="center"/>
    </xf>
    <xf numFmtId="0" fontId="5" fillId="0" borderId="17" xfId="0" applyFont="1" applyBorder="1"/>
    <xf numFmtId="49" fontId="4" fillId="0" borderId="18" xfId="0" applyNumberFormat="1" applyFont="1" applyBorder="1" applyAlignment="1">
      <alignment horizontal="center"/>
    </xf>
    <xf numFmtId="0" fontId="4" fillId="0" borderId="16" xfId="0" applyFont="1" applyBorder="1"/>
    <xf numFmtId="3" fontId="4" fillId="0" borderId="9" xfId="0" applyNumberFormat="1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7" xfId="0" applyFont="1" applyBorder="1"/>
    <xf numFmtId="0" fontId="4" fillId="0" borderId="21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1" xfId="0" applyFont="1" applyBorder="1" applyAlignment="1">
      <alignment wrapText="1"/>
    </xf>
    <xf numFmtId="0" fontId="5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5" fillId="0" borderId="7" xfId="0" applyFont="1" applyBorder="1"/>
    <xf numFmtId="0" fontId="4" fillId="0" borderId="7" xfId="0" applyFont="1" applyBorder="1" applyAlignment="1">
      <alignment horizontal="center" vertical="center"/>
    </xf>
    <xf numFmtId="0" fontId="8" fillId="0" borderId="1" xfId="1" applyFont="1" applyFill="1" applyBorder="1" applyAlignment="1">
      <alignment horizontal="center"/>
    </xf>
    <xf numFmtId="0" fontId="12" fillId="0" borderId="1" xfId="1" applyFont="1" applyFill="1" applyBorder="1" applyAlignment="1">
      <alignment vertical="center"/>
    </xf>
    <xf numFmtId="3" fontId="7" fillId="0" borderId="0" xfId="1" applyNumberFormat="1" applyFont="1" applyFill="1"/>
    <xf numFmtId="0" fontId="7" fillId="0" borderId="0" xfId="1" applyFont="1" applyFill="1"/>
    <xf numFmtId="0" fontId="7" fillId="0" borderId="1" xfId="5" applyFont="1" applyBorder="1"/>
    <xf numFmtId="0" fontId="8" fillId="0" borderId="1" xfId="5" applyFont="1" applyBorder="1" applyAlignment="1">
      <alignment horizontal="center"/>
    </xf>
    <xf numFmtId="0" fontId="7" fillId="0" borderId="0" xfId="5" applyFont="1"/>
    <xf numFmtId="0" fontId="10" fillId="0" borderId="1" xfId="5" applyFont="1" applyBorder="1" applyAlignment="1">
      <alignment horizontal="center" vertical="center" wrapText="1"/>
    </xf>
    <xf numFmtId="0" fontId="18" fillId="0" borderId="1" xfId="5" applyFont="1" applyBorder="1" applyAlignment="1">
      <alignment horizontal="center" vertical="center" wrapText="1"/>
    </xf>
    <xf numFmtId="0" fontId="19" fillId="0" borderId="1" xfId="5" applyFont="1" applyBorder="1" applyAlignment="1">
      <alignment horizontal="center" vertical="center" wrapText="1"/>
    </xf>
    <xf numFmtId="0" fontId="18" fillId="0" borderId="1" xfId="5" applyFont="1" applyBorder="1" applyAlignment="1">
      <alignment horizontal="center" vertical="center"/>
    </xf>
    <xf numFmtId="3" fontId="20" fillId="2" borderId="1" xfId="5" applyNumberFormat="1" applyFont="1" applyFill="1" applyBorder="1" applyAlignment="1">
      <alignment wrapText="1"/>
    </xf>
    <xf numFmtId="0" fontId="20" fillId="2" borderId="1" xfId="5" applyFont="1" applyFill="1" applyBorder="1" applyAlignment="1">
      <alignment wrapText="1"/>
    </xf>
    <xf numFmtId="0" fontId="21" fillId="0" borderId="1" xfId="5" applyFont="1" applyBorder="1" applyAlignment="1">
      <alignment vertical="center"/>
    </xf>
    <xf numFmtId="3" fontId="19" fillId="0" borderId="1" xfId="5" applyNumberFormat="1" applyFont="1" applyBorder="1" applyAlignment="1">
      <alignment horizontal="right" vertical="center"/>
    </xf>
    <xf numFmtId="3" fontId="2" fillId="0" borderId="0" xfId="5" applyNumberFormat="1"/>
    <xf numFmtId="0" fontId="2" fillId="0" borderId="0" xfId="5"/>
    <xf numFmtId="3" fontId="19" fillId="0" borderId="17" xfId="5" applyNumberFormat="1" applyFont="1" applyFill="1" applyBorder="1" applyAlignment="1">
      <alignment horizontal="center" vertical="center" wrapText="1"/>
    </xf>
    <xf numFmtId="0" fontId="8" fillId="0" borderId="1" xfId="5" applyFont="1" applyBorder="1" applyAlignment="1">
      <alignment horizontal="center" wrapText="1"/>
    </xf>
    <xf numFmtId="3" fontId="2" fillId="0" borderId="1" xfId="5" applyNumberFormat="1" applyBorder="1" applyAlignment="1">
      <alignment wrapText="1"/>
    </xf>
    <xf numFmtId="0" fontId="8" fillId="2" borderId="1" xfId="5" applyFont="1" applyFill="1" applyBorder="1" applyAlignment="1">
      <alignment horizontal="center"/>
    </xf>
    <xf numFmtId="0" fontId="21" fillId="2" borderId="1" xfId="5" applyFont="1" applyFill="1" applyBorder="1" applyAlignment="1">
      <alignment vertical="center"/>
    </xf>
    <xf numFmtId="0" fontId="12" fillId="2" borderId="1" xfId="5" applyFont="1" applyFill="1" applyBorder="1" applyAlignment="1">
      <alignment vertical="center"/>
    </xf>
    <xf numFmtId="3" fontId="2" fillId="2" borderId="1" xfId="5" applyNumberFormat="1" applyFill="1" applyBorder="1"/>
    <xf numFmtId="0" fontId="2" fillId="2" borderId="0" xfId="5" applyFill="1"/>
    <xf numFmtId="3" fontId="2" fillId="0" borderId="1" xfId="5" applyNumberFormat="1" applyBorder="1"/>
    <xf numFmtId="0" fontId="2" fillId="0" borderId="1" xfId="5" applyBorder="1"/>
    <xf numFmtId="0" fontId="22" fillId="0" borderId="1" xfId="5" applyFont="1" applyFill="1" applyBorder="1" applyAlignment="1">
      <alignment vertical="center"/>
    </xf>
    <xf numFmtId="0" fontId="2" fillId="0" borderId="0" xfId="5" applyBorder="1"/>
    <xf numFmtId="0" fontId="8" fillId="2" borderId="0" xfId="5" applyFont="1" applyFill="1" applyBorder="1" applyAlignment="1">
      <alignment horizontal="center"/>
    </xf>
    <xf numFmtId="0" fontId="10" fillId="2" borderId="1" xfId="5" applyFont="1" applyFill="1" applyBorder="1" applyAlignment="1">
      <alignment horizontal="center" vertical="center" wrapText="1"/>
    </xf>
    <xf numFmtId="0" fontId="18" fillId="2" borderId="1" xfId="5" applyFont="1" applyFill="1" applyBorder="1" applyAlignment="1">
      <alignment horizontal="center" vertical="center"/>
    </xf>
    <xf numFmtId="0" fontId="19" fillId="2" borderId="1" xfId="5" applyFont="1" applyFill="1" applyBorder="1" applyAlignment="1">
      <alignment horizontal="center" vertical="center" wrapText="1"/>
    </xf>
    <xf numFmtId="0" fontId="8" fillId="2" borderId="1" xfId="5" applyFont="1" applyFill="1" applyBorder="1" applyAlignment="1">
      <alignment horizontal="center" wrapText="1"/>
    </xf>
    <xf numFmtId="0" fontId="23" fillId="2" borderId="1" xfId="5" applyFont="1" applyFill="1" applyBorder="1" applyAlignment="1">
      <alignment vertical="center"/>
    </xf>
    <xf numFmtId="0" fontId="22" fillId="2" borderId="1" xfId="5" applyFont="1" applyFill="1" applyBorder="1" applyAlignment="1">
      <alignment vertical="center"/>
    </xf>
    <xf numFmtId="0" fontId="24" fillId="2" borderId="1" xfId="5" applyFont="1" applyFill="1" applyBorder="1" applyAlignment="1">
      <alignment vertical="center"/>
    </xf>
    <xf numFmtId="0" fontId="19" fillId="2" borderId="1" xfId="5" applyFont="1" applyFill="1" applyBorder="1" applyAlignment="1">
      <alignment horizontal="center" vertical="center"/>
    </xf>
    <xf numFmtId="0" fontId="16" fillId="2" borderId="0" xfId="5" applyFont="1" applyFill="1"/>
    <xf numFmtId="0" fontId="2" fillId="2" borderId="0" xfId="5" applyFill="1" applyBorder="1"/>
    <xf numFmtId="0" fontId="25" fillId="2" borderId="1" xfId="5" applyFont="1" applyFill="1" applyBorder="1" applyAlignment="1">
      <alignment horizontal="center"/>
    </xf>
    <xf numFmtId="0" fontId="20" fillId="2" borderId="0" xfId="5" applyFont="1" applyFill="1"/>
    <xf numFmtId="0" fontId="27" fillId="2" borderId="1" xfId="5" applyFont="1" applyFill="1" applyBorder="1" applyAlignment="1">
      <alignment horizontal="center" wrapText="1"/>
    </xf>
    <xf numFmtId="0" fontId="28" fillId="2" borderId="1" xfId="5" applyFont="1" applyFill="1" applyBorder="1" applyAlignment="1">
      <alignment horizontal="center" vertical="center"/>
    </xf>
    <xf numFmtId="0" fontId="20" fillId="2" borderId="1" xfId="5" applyFont="1" applyFill="1" applyBorder="1" applyAlignment="1">
      <alignment horizontal="center" vertical="center" wrapText="1"/>
    </xf>
    <xf numFmtId="0" fontId="25" fillId="0" borderId="1" xfId="5" applyFont="1" applyFill="1" applyBorder="1" applyAlignment="1">
      <alignment horizontal="center"/>
    </xf>
    <xf numFmtId="0" fontId="13" fillId="0" borderId="1" xfId="5" applyFont="1" applyFill="1" applyBorder="1" applyAlignment="1">
      <alignment vertical="center"/>
    </xf>
    <xf numFmtId="3" fontId="29" fillId="0" borderId="1" xfId="5" applyNumberFormat="1" applyFont="1" applyFill="1" applyBorder="1" applyAlignment="1">
      <alignment horizontal="right" vertical="center"/>
    </xf>
    <xf numFmtId="3" fontId="29" fillId="0" borderId="1" xfId="5" applyNumberFormat="1" applyFont="1" applyFill="1" applyBorder="1" applyAlignment="1">
      <alignment horizontal="right" vertical="center" wrapText="1"/>
    </xf>
    <xf numFmtId="0" fontId="20" fillId="0" borderId="0" xfId="5" applyFont="1" applyFill="1"/>
    <xf numFmtId="0" fontId="20" fillId="2" borderId="1" xfId="5" applyFont="1" applyFill="1" applyBorder="1"/>
    <xf numFmtId="0" fontId="20" fillId="2" borderId="1" xfId="5" applyFont="1" applyFill="1" applyBorder="1" applyAlignment="1">
      <alignment vertical="center"/>
    </xf>
    <xf numFmtId="0" fontId="7" fillId="2" borderId="1" xfId="5" applyFont="1" applyFill="1" applyBorder="1"/>
    <xf numFmtId="0" fontId="7" fillId="2" borderId="0" xfId="5" applyFont="1" applyFill="1"/>
    <xf numFmtId="0" fontId="10" fillId="2" borderId="1" xfId="5" applyFont="1" applyFill="1" applyBorder="1" applyAlignment="1">
      <alignment horizontal="center" wrapText="1"/>
    </xf>
    <xf numFmtId="0" fontId="4" fillId="2" borderId="1" xfId="5" applyFont="1" applyFill="1" applyBorder="1" applyAlignment="1">
      <alignment horizontal="center" vertical="center"/>
    </xf>
    <xf numFmtId="0" fontId="11" fillId="2" borderId="21" xfId="5" applyFont="1" applyFill="1" applyBorder="1" applyAlignment="1">
      <alignment horizontal="center" vertical="center" wrapText="1"/>
    </xf>
    <xf numFmtId="0" fontId="11" fillId="2" borderId="1" xfId="5" applyFont="1" applyFill="1" applyBorder="1" applyAlignment="1">
      <alignment horizontal="center" vertical="center" wrapText="1"/>
    </xf>
    <xf numFmtId="0" fontId="7" fillId="2" borderId="1" xfId="5" applyFont="1" applyFill="1" applyBorder="1" applyAlignment="1">
      <alignment horizontal="center" vertical="center" wrapText="1"/>
    </xf>
    <xf numFmtId="3" fontId="11" fillId="2" borderId="1" xfId="5" applyNumberFormat="1" applyFont="1" applyFill="1" applyBorder="1" applyAlignment="1">
      <alignment horizontal="right" vertical="center"/>
    </xf>
    <xf numFmtId="164" fontId="11" fillId="2" borderId="1" xfId="5" applyNumberFormat="1" applyFont="1" applyFill="1" applyBorder="1"/>
    <xf numFmtId="0" fontId="8" fillId="2" borderId="0" xfId="5" applyFont="1" applyFill="1" applyAlignment="1">
      <alignment horizontal="center"/>
    </xf>
    <xf numFmtId="3" fontId="20" fillId="2" borderId="0" xfId="5" applyNumberFormat="1" applyFont="1" applyFill="1"/>
    <xf numFmtId="0" fontId="25" fillId="2" borderId="1" xfId="5" applyFont="1" applyFill="1" applyBorder="1"/>
    <xf numFmtId="0" fontId="29" fillId="2" borderId="1" xfId="5" applyFont="1" applyFill="1" applyBorder="1" applyAlignment="1">
      <alignment horizontal="center" vertical="center"/>
    </xf>
    <xf numFmtId="0" fontId="13" fillId="2" borderId="1" xfId="5" applyFont="1" applyFill="1" applyBorder="1" applyAlignment="1">
      <alignment vertical="center"/>
    </xf>
    <xf numFmtId="3" fontId="13" fillId="2" borderId="1" xfId="5" applyNumberFormat="1" applyFont="1" applyFill="1" applyBorder="1" applyAlignment="1">
      <alignment horizontal="right" vertical="center"/>
    </xf>
    <xf numFmtId="3" fontId="29" fillId="2" borderId="1" xfId="5" applyNumberFormat="1" applyFont="1" applyFill="1" applyBorder="1" applyAlignment="1">
      <alignment horizontal="right" vertical="center"/>
    </xf>
    <xf numFmtId="3" fontId="20" fillId="2" borderId="1" xfId="5" applyNumberFormat="1" applyFont="1" applyFill="1" applyBorder="1"/>
    <xf numFmtId="3" fontId="29" fillId="2" borderId="1" xfId="5" applyNumberFormat="1" applyFont="1" applyFill="1" applyBorder="1"/>
    <xf numFmtId="0" fontId="25" fillId="2" borderId="0" xfId="5" applyFont="1" applyFill="1"/>
    <xf numFmtId="0" fontId="8" fillId="2" borderId="1" xfId="5" applyFont="1" applyFill="1" applyBorder="1" applyAlignment="1">
      <alignment vertical="center"/>
    </xf>
    <xf numFmtId="0" fontId="25" fillId="2" borderId="1" xfId="5" applyFont="1" applyFill="1" applyBorder="1" applyAlignment="1">
      <alignment vertical="center"/>
    </xf>
    <xf numFmtId="0" fontId="20" fillId="2" borderId="1" xfId="5" applyFont="1" applyFill="1" applyBorder="1" applyAlignment="1">
      <alignment horizontal="left" vertical="center" wrapText="1"/>
    </xf>
    <xf numFmtId="0" fontId="13" fillId="2" borderId="1" xfId="5" applyFont="1" applyFill="1" applyBorder="1" applyAlignment="1">
      <alignment horizontal="right" vertical="center"/>
    </xf>
    <xf numFmtId="0" fontId="29" fillId="2" borderId="1" xfId="5" applyFont="1" applyFill="1" applyBorder="1" applyAlignment="1">
      <alignment horizontal="right" vertical="center"/>
    </xf>
    <xf numFmtId="0" fontId="20" fillId="2" borderId="1" xfId="5" applyFont="1" applyFill="1" applyBorder="1" applyAlignment="1">
      <alignment horizontal="right" vertical="center"/>
    </xf>
    <xf numFmtId="0" fontId="7" fillId="0" borderId="0" xfId="5" applyFont="1" applyAlignment="1">
      <alignment horizontal="right"/>
    </xf>
    <xf numFmtId="0" fontId="20" fillId="0" borderId="1" xfId="5" applyFont="1" applyFill="1" applyBorder="1" applyAlignment="1">
      <alignment horizontal="center"/>
    </xf>
    <xf numFmtId="0" fontId="25" fillId="0" borderId="0" xfId="5" applyFont="1" applyFill="1" applyBorder="1" applyAlignment="1">
      <alignment horizontal="center"/>
    </xf>
    <xf numFmtId="0" fontId="26" fillId="0" borderId="0" xfId="5" applyFont="1" applyFill="1" applyBorder="1" applyAlignment="1">
      <alignment horizontal="center" vertical="center"/>
    </xf>
    <xf numFmtId="0" fontId="27" fillId="0" borderId="1" xfId="5" applyFont="1" applyFill="1" applyBorder="1" applyAlignment="1">
      <alignment horizontal="center" wrapText="1"/>
    </xf>
    <xf numFmtId="0" fontId="28" fillId="0" borderId="1" xfId="5" applyFont="1" applyFill="1" applyBorder="1" applyAlignment="1">
      <alignment horizontal="center" vertical="center"/>
    </xf>
    <xf numFmtId="0" fontId="29" fillId="0" borderId="1" xfId="5" applyFont="1" applyFill="1" applyBorder="1" applyAlignment="1">
      <alignment horizontal="center" vertical="center" wrapText="1"/>
    </xf>
    <xf numFmtId="0" fontId="29" fillId="0" borderId="0" xfId="5" applyFont="1" applyFill="1" applyBorder="1" applyAlignment="1">
      <alignment horizontal="center" vertical="center" wrapText="1"/>
    </xf>
    <xf numFmtId="0" fontId="20" fillId="0" borderId="1" xfId="5" applyFont="1" applyFill="1" applyBorder="1" applyAlignment="1">
      <alignment horizontal="center" vertical="center" wrapText="1"/>
    </xf>
    <xf numFmtId="0" fontId="20" fillId="0" borderId="1" xfId="5" applyFont="1" applyFill="1" applyBorder="1"/>
    <xf numFmtId="3" fontId="29" fillId="0" borderId="0" xfId="5" applyNumberFormat="1" applyFont="1" applyFill="1" applyBorder="1" applyAlignment="1">
      <alignment horizontal="right" vertical="center" wrapText="1"/>
    </xf>
    <xf numFmtId="0" fontId="27" fillId="0" borderId="1" xfId="5" applyFont="1" applyFill="1" applyBorder="1" applyAlignment="1">
      <alignment horizontal="center"/>
    </xf>
    <xf numFmtId="0" fontId="29" fillId="0" borderId="1" xfId="5" applyFont="1" applyFill="1" applyBorder="1" applyAlignment="1">
      <alignment vertical="center"/>
    </xf>
    <xf numFmtId="0" fontId="29" fillId="0" borderId="0" xfId="5" applyFont="1" applyFill="1"/>
    <xf numFmtId="0" fontId="20" fillId="0" borderId="1" xfId="5" applyFont="1" applyFill="1" applyBorder="1" applyAlignment="1">
      <alignment vertical="center"/>
    </xf>
    <xf numFmtId="3" fontId="20" fillId="0" borderId="0" xfId="5" applyNumberFormat="1" applyFont="1" applyFill="1" applyBorder="1" applyAlignment="1">
      <alignment horizontal="right" vertical="center" wrapText="1"/>
    </xf>
    <xf numFmtId="3" fontId="30" fillId="0" borderId="0" xfId="5" applyNumberFormat="1" applyFont="1" applyFill="1" applyBorder="1" applyAlignment="1">
      <alignment vertical="center"/>
    </xf>
    <xf numFmtId="3" fontId="20" fillId="0" borderId="0" xfId="5" applyNumberFormat="1" applyFont="1" applyFill="1" applyBorder="1"/>
    <xf numFmtId="0" fontId="29" fillId="0" borderId="1" xfId="5" applyFont="1" applyFill="1" applyBorder="1"/>
    <xf numFmtId="3" fontId="20" fillId="0" borderId="0" xfId="5" applyNumberFormat="1" applyFont="1" applyFill="1"/>
    <xf numFmtId="0" fontId="5" fillId="0" borderId="0" xfId="0" applyFont="1" applyAlignment="1">
      <alignment horizontal="center"/>
    </xf>
    <xf numFmtId="3" fontId="5" fillId="0" borderId="5" xfId="0" applyNumberFormat="1" applyFont="1" applyBorder="1"/>
    <xf numFmtId="3" fontId="5" fillId="0" borderId="1" xfId="0" applyNumberFormat="1" applyFont="1" applyBorder="1"/>
    <xf numFmtId="3" fontId="5" fillId="0" borderId="11" xfId="0" applyNumberFormat="1" applyFont="1" applyBorder="1"/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Font="1" applyBorder="1"/>
    <xf numFmtId="3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3" fontId="4" fillId="0" borderId="5" xfId="0" applyNumberFormat="1" applyFont="1" applyBorder="1"/>
    <xf numFmtId="0" fontId="7" fillId="0" borderId="1" xfId="1" applyFont="1" applyFill="1" applyBorder="1"/>
    <xf numFmtId="0" fontId="10" fillId="0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/>
    <xf numFmtId="0" fontId="12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11" fillId="0" borderId="1" xfId="1" applyFont="1" applyFill="1" applyBorder="1" applyAlignment="1">
      <alignment vertical="center"/>
    </xf>
    <xf numFmtId="3" fontId="6" fillId="0" borderId="0" xfId="1" applyNumberFormat="1" applyFont="1" applyFill="1" applyBorder="1" applyAlignment="1">
      <alignment vertical="center"/>
    </xf>
    <xf numFmtId="3" fontId="11" fillId="0" borderId="0" xfId="1" applyNumberFormat="1" applyFont="1" applyFill="1" applyBorder="1" applyAlignment="1">
      <alignment horizontal="right" vertical="center" wrapText="1"/>
    </xf>
    <xf numFmtId="0" fontId="11" fillId="0" borderId="0" xfId="1" applyFont="1" applyFill="1"/>
    <xf numFmtId="0" fontId="7" fillId="0" borderId="1" xfId="1" applyFont="1" applyFill="1" applyBorder="1" applyAlignment="1">
      <alignment vertical="center"/>
    </xf>
    <xf numFmtId="3" fontId="12" fillId="0" borderId="0" xfId="1" applyNumberFormat="1" applyFont="1" applyFill="1" applyBorder="1" applyAlignment="1">
      <alignment vertical="center"/>
    </xf>
    <xf numFmtId="3" fontId="7" fillId="0" borderId="0" xfId="1" applyNumberFormat="1" applyFont="1" applyFill="1" applyBorder="1" applyAlignment="1">
      <alignment horizontal="right" vertical="center"/>
    </xf>
    <xf numFmtId="0" fontId="11" fillId="0" borderId="1" xfId="1" applyFont="1" applyFill="1" applyBorder="1"/>
    <xf numFmtId="3" fontId="11" fillId="0" borderId="0" xfId="1" applyNumberFormat="1" applyFont="1" applyFill="1" applyBorder="1"/>
    <xf numFmtId="1" fontId="5" fillId="0" borderId="1" xfId="0" applyNumberFormat="1" applyFont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/>
    </xf>
    <xf numFmtId="3" fontId="29" fillId="0" borderId="0" xfId="5" applyNumberFormat="1" applyFont="1" applyFill="1" applyBorder="1"/>
    <xf numFmtId="3" fontId="4" fillId="0" borderId="9" xfId="0" applyNumberFormat="1" applyFont="1" applyBorder="1" applyAlignment="1">
      <alignment horizontal="center" vertical="center"/>
    </xf>
    <xf numFmtId="3" fontId="5" fillId="0" borderId="0" xfId="0" applyNumberFormat="1" applyFont="1"/>
    <xf numFmtId="3" fontId="4" fillId="0" borderId="8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/>
    </xf>
    <xf numFmtId="3" fontId="4" fillId="0" borderId="9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/>
    </xf>
    <xf numFmtId="165" fontId="7" fillId="0" borderId="0" xfId="1" applyNumberFormat="1" applyFont="1" applyFill="1"/>
    <xf numFmtId="165" fontId="8" fillId="0" borderId="1" xfId="1" applyNumberFormat="1" applyFont="1" applyFill="1" applyBorder="1" applyAlignment="1">
      <alignment horizontal="center"/>
    </xf>
    <xf numFmtId="165" fontId="11" fillId="0" borderId="1" xfId="1" applyNumberFormat="1" applyFont="1" applyFill="1" applyBorder="1" applyAlignment="1">
      <alignment horizontal="center" vertical="center" wrapText="1"/>
    </xf>
    <xf numFmtId="165" fontId="12" fillId="0" borderId="1" xfId="2" applyNumberFormat="1" applyFont="1" applyFill="1" applyBorder="1" applyAlignment="1">
      <alignment vertical="center"/>
    </xf>
    <xf numFmtId="165" fontId="12" fillId="0" borderId="1" xfId="2" applyNumberFormat="1" applyFont="1" applyFill="1" applyBorder="1" applyAlignment="1">
      <alignment horizontal="right" vertical="center"/>
    </xf>
    <xf numFmtId="165" fontId="11" fillId="0" borderId="1" xfId="1" applyNumberFormat="1" applyFont="1" applyFill="1" applyBorder="1" applyAlignment="1">
      <alignment horizontal="right" vertical="center"/>
    </xf>
    <xf numFmtId="165" fontId="14" fillId="0" borderId="1" xfId="2" applyNumberFormat="1" applyFont="1" applyFill="1" applyBorder="1" applyAlignment="1">
      <alignment vertical="center"/>
    </xf>
    <xf numFmtId="165" fontId="13" fillId="0" borderId="1" xfId="2" applyNumberFormat="1" applyFont="1" applyFill="1" applyBorder="1" applyAlignment="1">
      <alignment horizontal="right" vertical="center"/>
    </xf>
    <xf numFmtId="165" fontId="7" fillId="0" borderId="1" xfId="1" applyNumberFormat="1" applyFont="1" applyFill="1" applyBorder="1" applyAlignment="1">
      <alignment horizontal="right" vertical="center"/>
    </xf>
    <xf numFmtId="165" fontId="7" fillId="0" borderId="1" xfId="1" applyNumberFormat="1" applyFont="1" applyFill="1" applyBorder="1"/>
    <xf numFmtId="165" fontId="6" fillId="0" borderId="1" xfId="1" applyNumberFormat="1" applyFont="1" applyFill="1" applyBorder="1" applyAlignment="1">
      <alignment vertical="center"/>
    </xf>
    <xf numFmtId="165" fontId="12" fillId="0" borderId="1" xfId="1" applyNumberFormat="1" applyFont="1" applyFill="1" applyBorder="1" applyAlignment="1">
      <alignment vertical="center"/>
    </xf>
    <xf numFmtId="165" fontId="6" fillId="0" borderId="11" xfId="1" applyNumberFormat="1" applyFont="1" applyFill="1" applyBorder="1" applyAlignment="1">
      <alignment vertical="center"/>
    </xf>
    <xf numFmtId="165" fontId="11" fillId="0" borderId="1" xfId="1" applyNumberFormat="1" applyFont="1" applyFill="1" applyBorder="1"/>
    <xf numFmtId="165" fontId="12" fillId="3" borderId="1" xfId="2" applyNumberFormat="1" applyFont="1" applyFill="1" applyBorder="1" applyAlignment="1">
      <alignment horizontal="right" vertical="center"/>
    </xf>
    <xf numFmtId="165" fontId="12" fillId="4" borderId="1" xfId="2" applyNumberFormat="1" applyFont="1" applyFill="1" applyBorder="1" applyAlignment="1">
      <alignment horizontal="right" vertical="center"/>
    </xf>
    <xf numFmtId="165" fontId="12" fillId="5" borderId="1" xfId="2" applyNumberFormat="1" applyFont="1" applyFill="1" applyBorder="1" applyAlignment="1">
      <alignment horizontal="right" vertical="center"/>
    </xf>
    <xf numFmtId="165" fontId="29" fillId="0" borderId="1" xfId="5" applyNumberFormat="1" applyFont="1" applyFill="1" applyBorder="1" applyAlignment="1">
      <alignment horizontal="right" vertical="center"/>
    </xf>
    <xf numFmtId="165" fontId="29" fillId="0" borderId="1" xfId="5" applyNumberFormat="1" applyFont="1" applyFill="1" applyBorder="1" applyAlignment="1">
      <alignment horizontal="right" vertical="center" wrapText="1"/>
    </xf>
    <xf numFmtId="165" fontId="13" fillId="0" borderId="1" xfId="5" applyNumberFormat="1" applyFont="1" applyFill="1" applyBorder="1" applyAlignment="1">
      <alignment vertical="center"/>
    </xf>
    <xf numFmtId="165" fontId="13" fillId="0" borderId="1" xfId="5" applyNumberFormat="1" applyFont="1" applyFill="1" applyBorder="1" applyAlignment="1">
      <alignment horizontal="right" vertical="center"/>
    </xf>
    <xf numFmtId="165" fontId="13" fillId="0" borderId="1" xfId="6" applyNumberFormat="1" applyFont="1" applyFill="1" applyBorder="1" applyAlignment="1">
      <alignment horizontal="right" vertical="center"/>
    </xf>
    <xf numFmtId="165" fontId="20" fillId="0" borderId="1" xfId="5" applyNumberFormat="1" applyFont="1" applyFill="1" applyBorder="1"/>
    <xf numFmtId="165" fontId="13" fillId="0" borderId="1" xfId="6" applyNumberFormat="1" applyFont="1" applyFill="1" applyBorder="1" applyAlignment="1">
      <alignment vertical="center"/>
    </xf>
    <xf numFmtId="165" fontId="30" fillId="0" borderId="1" xfId="5" applyNumberFormat="1" applyFont="1" applyFill="1" applyBorder="1" applyAlignment="1">
      <alignment vertical="center"/>
    </xf>
    <xf numFmtId="165" fontId="20" fillId="0" borderId="1" xfId="5" applyNumberFormat="1" applyFont="1" applyFill="1" applyBorder="1" applyAlignment="1">
      <alignment horizontal="right" vertical="center" wrapText="1"/>
    </xf>
    <xf numFmtId="165" fontId="29" fillId="0" borderId="1" xfId="5" applyNumberFormat="1" applyFont="1" applyFill="1" applyBorder="1"/>
    <xf numFmtId="165" fontId="13" fillId="2" borderId="1" xfId="5" applyNumberFormat="1" applyFont="1" applyFill="1" applyBorder="1" applyAlignment="1">
      <alignment horizontal="right" vertical="center"/>
    </xf>
    <xf numFmtId="165" fontId="12" fillId="2" borderId="1" xfId="5" applyNumberFormat="1" applyFont="1" applyFill="1" applyBorder="1" applyAlignment="1">
      <alignment horizontal="right" vertical="center"/>
    </xf>
    <xf numFmtId="165" fontId="29" fillId="2" borderId="1" xfId="5" applyNumberFormat="1" applyFont="1" applyFill="1" applyBorder="1" applyAlignment="1">
      <alignment horizontal="right" vertical="center"/>
    </xf>
    <xf numFmtId="165" fontId="20" fillId="2" borderId="1" xfId="5" applyNumberFormat="1" applyFont="1" applyFill="1" applyBorder="1"/>
    <xf numFmtId="165" fontId="12" fillId="2" borderId="1" xfId="5" applyNumberFormat="1" applyFont="1" applyFill="1" applyBorder="1" applyAlignment="1">
      <alignment vertical="center"/>
    </xf>
    <xf numFmtId="165" fontId="21" fillId="2" borderId="1" xfId="5" applyNumberFormat="1" applyFont="1" applyFill="1" applyBorder="1" applyAlignment="1">
      <alignment vertical="center"/>
    </xf>
    <xf numFmtId="165" fontId="21" fillId="2" borderId="1" xfId="5" applyNumberFormat="1" applyFont="1" applyFill="1" applyBorder="1" applyAlignment="1">
      <alignment horizontal="right" vertical="center"/>
    </xf>
    <xf numFmtId="165" fontId="19" fillId="2" borderId="1" xfId="5" applyNumberFormat="1" applyFont="1" applyFill="1" applyBorder="1" applyAlignment="1">
      <alignment horizontal="right" vertical="center"/>
    </xf>
    <xf numFmtId="165" fontId="12" fillId="0" borderId="1" xfId="5" applyNumberFormat="1" applyFont="1" applyBorder="1" applyAlignment="1">
      <alignment vertical="center"/>
    </xf>
    <xf numFmtId="165" fontId="21" fillId="0" borderId="1" xfId="5" applyNumberFormat="1" applyFont="1" applyBorder="1" applyAlignment="1">
      <alignment vertical="center"/>
    </xf>
    <xf numFmtId="165" fontId="21" fillId="0" borderId="1" xfId="5" applyNumberFormat="1" applyFont="1" applyBorder="1" applyAlignment="1">
      <alignment horizontal="right" vertical="center"/>
    </xf>
    <xf numFmtId="165" fontId="19" fillId="0" borderId="1" xfId="5" applyNumberFormat="1" applyFont="1" applyBorder="1" applyAlignment="1">
      <alignment horizontal="right" vertical="center"/>
    </xf>
    <xf numFmtId="165" fontId="7" fillId="0" borderId="1" xfId="5" applyNumberFormat="1" applyFont="1" applyBorder="1"/>
    <xf numFmtId="0" fontId="13" fillId="0" borderId="1" xfId="5" applyFont="1" applyFill="1" applyBorder="1" applyAlignment="1">
      <alignment vertical="center" wrapText="1"/>
    </xf>
    <xf numFmtId="165" fontId="7" fillId="2" borderId="1" xfId="5" applyNumberFormat="1" applyFont="1" applyFill="1" applyBorder="1" applyAlignment="1">
      <alignment vertical="center"/>
    </xf>
    <xf numFmtId="165" fontId="11" fillId="2" borderId="1" xfId="5" applyNumberFormat="1" applyFont="1" applyFill="1" applyBorder="1" applyAlignment="1">
      <alignment horizontal="right" vertical="center"/>
    </xf>
    <xf numFmtId="165" fontId="7" fillId="2" borderId="1" xfId="5" applyNumberFormat="1" applyFont="1" applyFill="1" applyBorder="1"/>
    <xf numFmtId="3" fontId="7" fillId="0" borderId="0" xfId="1" applyNumberFormat="1" applyFont="1" applyFill="1" applyBorder="1"/>
    <xf numFmtId="1" fontId="7" fillId="0" borderId="0" xfId="1" applyNumberFormat="1" applyFont="1" applyFill="1"/>
    <xf numFmtId="165" fontId="4" fillId="0" borderId="0" xfId="0" applyNumberFormat="1" applyFont="1" applyAlignment="1">
      <alignment horizontal="right"/>
    </xf>
    <xf numFmtId="165" fontId="4" fillId="0" borderId="9" xfId="0" applyNumberFormat="1" applyFont="1" applyBorder="1" applyAlignment="1">
      <alignment horizontal="center" vertical="center"/>
    </xf>
    <xf numFmtId="165" fontId="4" fillId="0" borderId="9" xfId="0" applyNumberFormat="1" applyFont="1" applyBorder="1"/>
    <xf numFmtId="165" fontId="5" fillId="0" borderId="6" xfId="0" applyNumberFormat="1" applyFont="1" applyBorder="1"/>
    <xf numFmtId="165" fontId="5" fillId="0" borderId="3" xfId="0" applyNumberFormat="1" applyFont="1" applyBorder="1"/>
    <xf numFmtId="165" fontId="5" fillId="0" borderId="12" xfId="0" applyNumberFormat="1" applyFont="1" applyBorder="1"/>
    <xf numFmtId="165" fontId="4" fillId="0" borderId="15" xfId="0" applyNumberFormat="1" applyFont="1" applyBorder="1"/>
    <xf numFmtId="165" fontId="4" fillId="0" borderId="0" xfId="0" applyNumberFormat="1" applyFont="1"/>
    <xf numFmtId="165" fontId="5" fillId="0" borderId="5" xfId="0" applyNumberFormat="1" applyFont="1" applyBorder="1"/>
    <xf numFmtId="165" fontId="5" fillId="0" borderId="1" xfId="0" applyNumberFormat="1" applyFont="1" applyBorder="1"/>
    <xf numFmtId="165" fontId="5" fillId="0" borderId="11" xfId="0" applyNumberFormat="1" applyFont="1" applyBorder="1"/>
    <xf numFmtId="165" fontId="4" fillId="0" borderId="19" xfId="0" applyNumberFormat="1" applyFont="1" applyBorder="1"/>
    <xf numFmtId="165" fontId="5" fillId="0" borderId="17" xfId="0" applyNumberFormat="1" applyFont="1" applyBorder="1"/>
    <xf numFmtId="165" fontId="5" fillId="0" borderId="0" xfId="0" applyNumberFormat="1" applyFont="1"/>
    <xf numFmtId="165" fontId="4" fillId="0" borderId="0" xfId="0" applyNumberFormat="1" applyFont="1" applyAlignment="1">
      <alignment horizontal="center"/>
    </xf>
    <xf numFmtId="165" fontId="4" fillId="0" borderId="8" xfId="0" applyNumberFormat="1" applyFont="1" applyBorder="1"/>
    <xf numFmtId="165" fontId="4" fillId="0" borderId="8" xfId="0" applyNumberFormat="1" applyFont="1" applyBorder="1" applyAlignment="1">
      <alignment wrapText="1"/>
    </xf>
    <xf numFmtId="165" fontId="4" fillId="0" borderId="16" xfId="0" applyNumberFormat="1" applyFont="1" applyBorder="1"/>
    <xf numFmtId="165" fontId="4" fillId="0" borderId="1" xfId="0" applyNumberFormat="1" applyFont="1" applyBorder="1"/>
    <xf numFmtId="165" fontId="5" fillId="0" borderId="8" xfId="0" applyNumberFormat="1" applyFont="1" applyBorder="1"/>
    <xf numFmtId="165" fontId="5" fillId="0" borderId="1" xfId="0" applyNumberFormat="1" applyFont="1" applyBorder="1" applyAlignment="1">
      <alignment vertical="center"/>
    </xf>
    <xf numFmtId="165" fontId="5" fillId="0" borderId="11" xfId="0" applyNumberFormat="1" applyFont="1" applyBorder="1" applyAlignment="1">
      <alignment vertical="center"/>
    </xf>
    <xf numFmtId="165" fontId="5" fillId="0" borderId="8" xfId="0" applyNumberFormat="1" applyFont="1" applyBorder="1" applyAlignment="1">
      <alignment vertical="center"/>
    </xf>
    <xf numFmtId="0" fontId="31" fillId="0" borderId="1" xfId="5" applyFont="1" applyBorder="1" applyAlignment="1">
      <alignment horizontal="center"/>
    </xf>
    <xf numFmtId="0" fontId="32" fillId="0" borderId="1" xfId="5" applyFont="1" applyBorder="1" applyAlignment="1">
      <alignment horizontal="center" vertical="center" wrapText="1"/>
    </xf>
    <xf numFmtId="0" fontId="33" fillId="0" borderId="1" xfId="5" applyFont="1" applyBorder="1" applyAlignment="1">
      <alignment horizontal="center" vertical="center"/>
    </xf>
    <xf numFmtId="0" fontId="33" fillId="0" borderId="1" xfId="5" applyFont="1" applyBorder="1" applyAlignment="1">
      <alignment horizontal="center" vertical="center" wrapText="1"/>
    </xf>
    <xf numFmtId="3" fontId="33" fillId="0" borderId="17" xfId="5" applyNumberFormat="1" applyFont="1" applyFill="1" applyBorder="1" applyAlignment="1">
      <alignment horizontal="center" vertical="center" wrapText="1"/>
    </xf>
    <xf numFmtId="0" fontId="34" fillId="0" borderId="0" xfId="5" applyFont="1"/>
    <xf numFmtId="0" fontId="20" fillId="0" borderId="28" xfId="5" applyFont="1" applyFill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3" fontId="29" fillId="0" borderId="0" xfId="5" applyNumberFormat="1" applyFont="1" applyFill="1" applyBorder="1" applyAlignment="1">
      <alignment horizontal="right" vertical="center"/>
    </xf>
    <xf numFmtId="0" fontId="29" fillId="0" borderId="1" xfId="5" applyFont="1" applyFill="1" applyBorder="1" applyAlignment="1">
      <alignment horizontal="center"/>
    </xf>
    <xf numFmtId="0" fontId="35" fillId="0" borderId="1" xfId="5" applyFont="1" applyFill="1" applyBorder="1" applyAlignment="1">
      <alignment horizontal="center" vertical="center"/>
    </xf>
    <xf numFmtId="165" fontId="20" fillId="0" borderId="1" xfId="5" applyNumberFormat="1" applyFont="1" applyFill="1" applyBorder="1" applyAlignment="1">
      <alignment horizontal="right" vertical="center"/>
    </xf>
    <xf numFmtId="3" fontId="20" fillId="0" borderId="0" xfId="5" applyNumberFormat="1" applyFont="1" applyFill="1" applyBorder="1" applyAlignment="1">
      <alignment horizontal="right" vertical="center"/>
    </xf>
    <xf numFmtId="1" fontId="20" fillId="0" borderId="1" xfId="5" applyNumberFormat="1" applyFont="1" applyFill="1" applyBorder="1" applyAlignment="1">
      <alignment horizontal="right" vertical="center"/>
    </xf>
    <xf numFmtId="0" fontId="35" fillId="0" borderId="1" xfId="5" applyFont="1" applyFill="1" applyBorder="1" applyAlignment="1">
      <alignment horizontal="left" vertical="center"/>
    </xf>
    <xf numFmtId="0" fontId="28" fillId="0" borderId="1" xfId="5" applyFont="1" applyFill="1" applyBorder="1" applyAlignment="1">
      <alignment horizontal="left" vertical="center"/>
    </xf>
    <xf numFmtId="1" fontId="29" fillId="0" borderId="1" xfId="5" applyNumberFormat="1" applyFont="1" applyFill="1" applyBorder="1" applyAlignment="1">
      <alignment horizontal="right" vertical="center"/>
    </xf>
    <xf numFmtId="0" fontId="4" fillId="0" borderId="32" xfId="0" applyFont="1" applyBorder="1"/>
    <xf numFmtId="165" fontId="13" fillId="5" borderId="1" xfId="2" applyNumberFormat="1" applyFont="1" applyFill="1" applyBorder="1" applyAlignment="1">
      <alignment horizontal="right" vertical="center"/>
    </xf>
    <xf numFmtId="165" fontId="12" fillId="6" borderId="1" xfId="2" applyNumberFormat="1" applyFont="1" applyFill="1" applyBorder="1" applyAlignment="1">
      <alignment horizontal="right" vertical="center"/>
    </xf>
    <xf numFmtId="165" fontId="20" fillId="0" borderId="1" xfId="5" applyNumberFormat="1" applyFont="1" applyFill="1" applyBorder="1" applyAlignment="1">
      <alignment vertical="center"/>
    </xf>
    <xf numFmtId="3" fontId="29" fillId="0" borderId="1" xfId="5" applyNumberFormat="1" applyFont="1" applyFill="1" applyBorder="1"/>
    <xf numFmtId="165" fontId="22" fillId="2" borderId="1" xfId="5" applyNumberFormat="1" applyFont="1" applyFill="1" applyBorder="1" applyAlignment="1">
      <alignment vertical="center"/>
    </xf>
    <xf numFmtId="165" fontId="22" fillId="2" borderId="1" xfId="5" applyNumberFormat="1" applyFont="1" applyFill="1" applyBorder="1" applyAlignment="1">
      <alignment horizontal="right" vertical="center"/>
    </xf>
    <xf numFmtId="165" fontId="11" fillId="2" borderId="1" xfId="5" applyNumberFormat="1" applyFont="1" applyFill="1" applyBorder="1" applyAlignment="1">
      <alignment vertical="center"/>
    </xf>
    <xf numFmtId="165" fontId="11" fillId="2" borderId="1" xfId="6" applyNumberFormat="1" applyFont="1" applyFill="1" applyBorder="1" applyAlignment="1">
      <alignment horizontal="right" vertical="center"/>
    </xf>
    <xf numFmtId="1" fontId="20" fillId="0" borderId="0" xfId="5" applyNumberFormat="1" applyFont="1" applyFill="1"/>
    <xf numFmtId="1" fontId="20" fillId="0" borderId="1" xfId="5" applyNumberFormat="1" applyFont="1" applyFill="1" applyBorder="1" applyAlignment="1">
      <alignment horizontal="center"/>
    </xf>
    <xf numFmtId="1" fontId="25" fillId="0" borderId="1" xfId="5" applyNumberFormat="1" applyFont="1" applyFill="1" applyBorder="1" applyAlignment="1">
      <alignment horizontal="center"/>
    </xf>
    <xf numFmtId="165" fontId="20" fillId="0" borderId="0" xfId="5" applyNumberFormat="1" applyFont="1" applyFill="1"/>
    <xf numFmtId="1" fontId="20" fillId="2" borderId="0" xfId="5" applyNumberFormat="1" applyFont="1" applyFill="1"/>
    <xf numFmtId="1" fontId="25" fillId="2" borderId="1" xfId="5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11" fillId="0" borderId="0" xfId="1" applyFont="1" applyFill="1" applyBorder="1"/>
    <xf numFmtId="165" fontId="11" fillId="0" borderId="0" xfId="1" applyNumberFormat="1" applyFont="1" applyFill="1" applyBorder="1"/>
    <xf numFmtId="0" fontId="4" fillId="0" borderId="13" xfId="0" applyFont="1" applyBorder="1"/>
    <xf numFmtId="165" fontId="4" fillId="0" borderId="14" xfId="0" applyNumberFormat="1" applyFont="1" applyBorder="1"/>
    <xf numFmtId="165" fontId="4" fillId="0" borderId="5" xfId="0" applyNumberFormat="1" applyFont="1" applyBorder="1"/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4" fillId="0" borderId="8" xfId="0" applyNumberFormat="1" applyFont="1" applyBorder="1"/>
    <xf numFmtId="3" fontId="4" fillId="0" borderId="32" xfId="0" applyNumberFormat="1" applyFont="1" applyBorder="1"/>
    <xf numFmtId="3" fontId="5" fillId="0" borderId="17" xfId="0" applyNumberFormat="1" applyFont="1" applyBorder="1"/>
    <xf numFmtId="0" fontId="4" fillId="0" borderId="0" xfId="0" applyFont="1" applyBorder="1"/>
    <xf numFmtId="3" fontId="4" fillId="0" borderId="0" xfId="0" applyNumberFormat="1" applyFont="1" applyBorder="1"/>
    <xf numFmtId="3" fontId="4" fillId="0" borderId="16" xfId="0" applyNumberFormat="1" applyFont="1" applyBorder="1"/>
    <xf numFmtId="3" fontId="20" fillId="0" borderId="1" xfId="5" applyNumberFormat="1" applyFont="1" applyFill="1" applyBorder="1" applyAlignment="1">
      <alignment horizontal="right" vertical="center"/>
    </xf>
    <xf numFmtId="1" fontId="20" fillId="2" borderId="1" xfId="5" applyNumberFormat="1" applyFont="1" applyFill="1" applyBorder="1"/>
    <xf numFmtId="166" fontId="29" fillId="2" borderId="1" xfId="5" applyNumberFormat="1" applyFont="1" applyFill="1" applyBorder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28" fillId="0" borderId="1" xfId="5" applyFont="1" applyFill="1" applyBorder="1" applyAlignment="1">
      <alignment vertical="center" wrapText="1"/>
    </xf>
    <xf numFmtId="0" fontId="35" fillId="0" borderId="1" xfId="5" applyFont="1" applyFill="1" applyBorder="1" applyAlignment="1">
      <alignment vertical="center" wrapText="1"/>
    </xf>
    <xf numFmtId="165" fontId="11" fillId="5" borderId="1" xfId="1" applyNumberFormat="1" applyFont="1" applyFill="1" applyBorder="1" applyAlignment="1">
      <alignment horizontal="right" vertical="center"/>
    </xf>
    <xf numFmtId="165" fontId="29" fillId="5" borderId="1" xfId="5" applyNumberFormat="1" applyFont="1" applyFill="1" applyBorder="1" applyAlignment="1">
      <alignment horizontal="right" vertical="center"/>
    </xf>
    <xf numFmtId="165" fontId="13" fillId="0" borderId="1" xfId="5" applyNumberFormat="1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5" fontId="4" fillId="0" borderId="1" xfId="0" applyNumberFormat="1" applyFont="1" applyFill="1" applyBorder="1"/>
    <xf numFmtId="165" fontId="5" fillId="0" borderId="1" xfId="0" applyNumberFormat="1" applyFont="1" applyFill="1" applyBorder="1"/>
    <xf numFmtId="165" fontId="5" fillId="0" borderId="11" xfId="0" applyNumberFormat="1" applyFont="1" applyFill="1" applyBorder="1"/>
    <xf numFmtId="165" fontId="4" fillId="0" borderId="14" xfId="0" applyNumberFormat="1" applyFont="1" applyFill="1" applyBorder="1"/>
    <xf numFmtId="0" fontId="5" fillId="0" borderId="0" xfId="0" applyFont="1" applyFill="1"/>
    <xf numFmtId="165" fontId="5" fillId="3" borderId="1" xfId="0" applyNumberFormat="1" applyFont="1" applyFill="1" applyBorder="1"/>
    <xf numFmtId="165" fontId="4" fillId="3" borderId="1" xfId="0" applyNumberFormat="1" applyFont="1" applyFill="1" applyBorder="1"/>
    <xf numFmtId="0" fontId="5" fillId="0" borderId="0" xfId="0" applyFont="1" applyAlignment="1">
      <alignment horizontal="right"/>
    </xf>
    <xf numFmtId="165" fontId="7" fillId="3" borderId="0" xfId="1" applyNumberFormat="1" applyFont="1" applyFill="1"/>
    <xf numFmtId="0" fontId="4" fillId="0" borderId="0" xfId="0" applyFont="1" applyAlignment="1">
      <alignment horizontal="center"/>
    </xf>
    <xf numFmtId="0" fontId="20" fillId="2" borderId="21" xfId="5" applyFont="1" applyFill="1" applyBorder="1" applyAlignment="1">
      <alignment wrapText="1"/>
    </xf>
    <xf numFmtId="0" fontId="20" fillId="2" borderId="21" xfId="5" applyFont="1" applyFill="1" applyBorder="1"/>
    <xf numFmtId="0" fontId="20" fillId="2" borderId="1" xfId="5" applyFont="1" applyFill="1" applyBorder="1" applyAlignment="1">
      <alignment horizontal="center" vertical="center"/>
    </xf>
    <xf numFmtId="0" fontId="20" fillId="2" borderId="1" xfId="5" applyFont="1" applyFill="1" applyBorder="1" applyAlignment="1">
      <alignment horizontal="center"/>
    </xf>
    <xf numFmtId="0" fontId="20" fillId="2" borderId="0" xfId="5" applyFont="1" applyFill="1" applyAlignment="1">
      <alignment horizontal="center"/>
    </xf>
    <xf numFmtId="166" fontId="29" fillId="0" borderId="1" xfId="5" applyNumberFormat="1" applyFont="1" applyFill="1" applyBorder="1"/>
    <xf numFmtId="0" fontId="29" fillId="2" borderId="1" xfId="5" applyFont="1" applyFill="1" applyBorder="1" applyAlignment="1">
      <alignment horizontal="center"/>
    </xf>
    <xf numFmtId="49" fontId="5" fillId="0" borderId="0" xfId="0" applyNumberFormat="1" applyFont="1" applyFill="1" applyAlignment="1">
      <alignment horizontal="center"/>
    </xf>
    <xf numFmtId="165" fontId="5" fillId="0" borderId="0" xfId="0" applyNumberFormat="1" applyFont="1" applyFill="1"/>
    <xf numFmtId="0" fontId="5" fillId="7" borderId="0" xfId="0" applyFont="1" applyFill="1"/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165" fontId="7" fillId="0" borderId="28" xfId="1" applyNumberFormat="1" applyFont="1" applyFill="1" applyBorder="1" applyAlignment="1">
      <alignment horizontal="right"/>
    </xf>
    <xf numFmtId="0" fontId="17" fillId="0" borderId="1" xfId="5" applyFont="1" applyBorder="1" applyAlignment="1">
      <alignment horizontal="center" vertical="center" wrapText="1"/>
    </xf>
    <xf numFmtId="0" fontId="17" fillId="0" borderId="1" xfId="5" applyFont="1" applyBorder="1" applyAlignment="1">
      <alignment horizontal="center" vertical="center"/>
    </xf>
    <xf numFmtId="0" fontId="17" fillId="0" borderId="11" xfId="5" applyFont="1" applyBorder="1" applyAlignment="1">
      <alignment horizontal="center" vertical="center"/>
    </xf>
    <xf numFmtId="0" fontId="7" fillId="0" borderId="28" xfId="5" applyFont="1" applyBorder="1" applyAlignment="1">
      <alignment horizontal="right"/>
    </xf>
    <xf numFmtId="0" fontId="17" fillId="2" borderId="1" xfId="5" applyFont="1" applyFill="1" applyBorder="1" applyAlignment="1">
      <alignment horizontal="center" vertical="center" wrapText="1"/>
    </xf>
    <xf numFmtId="0" fontId="17" fillId="2" borderId="1" xfId="5" applyFont="1" applyFill="1" applyBorder="1" applyAlignment="1">
      <alignment horizontal="center" vertical="center"/>
    </xf>
    <xf numFmtId="0" fontId="1" fillId="2" borderId="28" xfId="5" applyFont="1" applyFill="1" applyBorder="1" applyAlignment="1">
      <alignment horizontal="right"/>
    </xf>
    <xf numFmtId="0" fontId="2" fillId="2" borderId="28" xfId="5" applyFill="1" applyBorder="1" applyAlignment="1">
      <alignment horizontal="right"/>
    </xf>
    <xf numFmtId="0" fontId="26" fillId="0" borderId="1" xfId="5" applyFont="1" applyFill="1" applyBorder="1" applyAlignment="1">
      <alignment horizontal="center" vertical="center" wrapText="1"/>
    </xf>
    <xf numFmtId="0" fontId="26" fillId="0" borderId="1" xfId="5" applyFont="1" applyFill="1" applyBorder="1" applyAlignment="1">
      <alignment horizontal="center" vertical="center"/>
    </xf>
    <xf numFmtId="0" fontId="20" fillId="0" borderId="28" xfId="5" applyFont="1" applyFill="1" applyBorder="1" applyAlignment="1">
      <alignment horizontal="center"/>
    </xf>
    <xf numFmtId="0" fontId="9" fillId="2" borderId="1" xfId="5" applyFont="1" applyFill="1" applyBorder="1" applyAlignment="1">
      <alignment horizontal="center" vertical="center" wrapText="1"/>
    </xf>
    <xf numFmtId="0" fontId="9" fillId="2" borderId="1" xfId="5" applyFont="1" applyFill="1" applyBorder="1" applyAlignment="1">
      <alignment horizontal="center" vertical="center"/>
    </xf>
    <xf numFmtId="0" fontId="7" fillId="2" borderId="28" xfId="5" applyFont="1" applyFill="1" applyBorder="1" applyAlignment="1">
      <alignment horizontal="right"/>
    </xf>
    <xf numFmtId="0" fontId="26" fillId="2" borderId="1" xfId="5" applyFont="1" applyFill="1" applyBorder="1" applyAlignment="1">
      <alignment horizontal="center" vertical="center" wrapText="1"/>
    </xf>
    <xf numFmtId="0" fontId="26" fillId="2" borderId="1" xfId="5" applyFont="1" applyFill="1" applyBorder="1" applyAlignment="1">
      <alignment horizontal="center" vertical="center"/>
    </xf>
    <xf numFmtId="0" fontId="20" fillId="2" borderId="28" xfId="5" applyFont="1" applyFill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center" wrapText="1"/>
    </xf>
    <xf numFmtId="0" fontId="4" fillId="0" borderId="25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33" xfId="0" applyFont="1" applyBorder="1" applyAlignment="1">
      <alignment horizontal="left" wrapText="1"/>
    </xf>
  </cellXfs>
  <cellStyles count="7">
    <cellStyle name="Ezres 2" xfId="2"/>
    <cellStyle name="Ezres 3" xfId="6"/>
    <cellStyle name="Normál" xfId="0" builtinId="0"/>
    <cellStyle name="Normál 2" xfId="1"/>
    <cellStyle name="Normál 3" xfId="3"/>
    <cellStyle name="Normál 4" xfId="5"/>
    <cellStyle name="Százalék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127"/>
  <sheetViews>
    <sheetView tabSelected="1" topLeftCell="A94" workbookViewId="0">
      <selection activeCell="C127" sqref="C127"/>
    </sheetView>
  </sheetViews>
  <sheetFormatPr defaultRowHeight="15.75" x14ac:dyDescent="0.25"/>
  <cols>
    <col min="1" max="1" width="9.140625" style="2"/>
    <col min="2" max="2" width="8.7109375" style="14" customWidth="1"/>
    <col min="3" max="3" width="60.42578125" style="2" customWidth="1"/>
    <col min="4" max="4" width="20.85546875" style="256" bestFit="1" customWidth="1"/>
    <col min="5" max="16384" width="9.140625" style="2"/>
  </cols>
  <sheetData>
    <row r="1" spans="1:4" x14ac:dyDescent="0.25">
      <c r="B1" s="351" t="s">
        <v>437</v>
      </c>
      <c r="C1" s="351"/>
      <c r="D1" s="351"/>
    </row>
    <row r="2" spans="1:4" s="1" customFormat="1" x14ac:dyDescent="0.25">
      <c r="B2" s="352" t="s">
        <v>0</v>
      </c>
      <c r="C2" s="352"/>
      <c r="D2" s="352"/>
    </row>
    <row r="3" spans="1:4" s="1" customFormat="1" x14ac:dyDescent="0.25">
      <c r="B3" s="352" t="s">
        <v>438</v>
      </c>
      <c r="C3" s="352"/>
      <c r="D3" s="352"/>
    </row>
    <row r="4" spans="1:4" s="1" customFormat="1" x14ac:dyDescent="0.25">
      <c r="B4" s="352" t="s">
        <v>1</v>
      </c>
      <c r="C4" s="352"/>
      <c r="D4" s="352"/>
    </row>
    <row r="5" spans="1:4" s="1" customFormat="1" ht="16.5" thickBot="1" x14ac:dyDescent="0.3">
      <c r="B5" s="20" t="s">
        <v>88</v>
      </c>
      <c r="D5" s="243"/>
    </row>
    <row r="6" spans="1:4" s="3" customFormat="1" ht="16.5" thickBot="1" x14ac:dyDescent="0.3">
      <c r="A6" s="273"/>
      <c r="B6" s="5">
        <v>1</v>
      </c>
      <c r="C6" s="6">
        <v>2</v>
      </c>
      <c r="D6" s="191">
        <v>3</v>
      </c>
    </row>
    <row r="7" spans="1:4" s="1" customFormat="1" ht="32.25" thickBot="1" x14ac:dyDescent="0.3">
      <c r="B7" s="8" t="s">
        <v>5</v>
      </c>
      <c r="C7" s="6" t="s">
        <v>3</v>
      </c>
      <c r="D7" s="244" t="s">
        <v>439</v>
      </c>
    </row>
    <row r="8" spans="1:4" s="1" customFormat="1" ht="16.5" thickBot="1" x14ac:dyDescent="0.3">
      <c r="B8" s="16" t="s">
        <v>4</v>
      </c>
      <c r="C8" s="10" t="s">
        <v>17</v>
      </c>
      <c r="D8" s="245">
        <f>SUM(D9:D14)</f>
        <v>289048.07</v>
      </c>
    </row>
    <row r="9" spans="1:4" x14ac:dyDescent="0.25">
      <c r="B9" s="17" t="s">
        <v>7</v>
      </c>
      <c r="C9" s="9" t="s">
        <v>31</v>
      </c>
      <c r="D9" s="246">
        <v>100842.69</v>
      </c>
    </row>
    <row r="10" spans="1:4" x14ac:dyDescent="0.25">
      <c r="B10" s="18" t="s">
        <v>8</v>
      </c>
      <c r="C10" s="4" t="s">
        <v>32</v>
      </c>
      <c r="D10" s="247">
        <v>76435.8</v>
      </c>
    </row>
    <row r="11" spans="1:4" x14ac:dyDescent="0.25">
      <c r="B11" s="18" t="s">
        <v>9</v>
      </c>
      <c r="C11" s="4" t="s">
        <v>356</v>
      </c>
      <c r="D11" s="247">
        <v>107425.68</v>
      </c>
    </row>
    <row r="12" spans="1:4" x14ac:dyDescent="0.25">
      <c r="B12" s="18" t="s">
        <v>10</v>
      </c>
      <c r="C12" s="4" t="s">
        <v>34</v>
      </c>
      <c r="D12" s="247">
        <v>4343.8999999999996</v>
      </c>
    </row>
    <row r="13" spans="1:4" x14ac:dyDescent="0.25">
      <c r="B13" s="18" t="s">
        <v>11</v>
      </c>
      <c r="C13" s="4" t="s">
        <v>35</v>
      </c>
      <c r="D13" s="247"/>
    </row>
    <row r="14" spans="1:4" ht="16.5" thickBot="1" x14ac:dyDescent="0.3">
      <c r="B14" s="19" t="s">
        <v>12</v>
      </c>
      <c r="C14" s="12" t="s">
        <v>396</v>
      </c>
      <c r="D14" s="248"/>
    </row>
    <row r="15" spans="1:4" s="1" customFormat="1" ht="16.5" thickBot="1" x14ac:dyDescent="0.3">
      <c r="B15" s="16" t="s">
        <v>6</v>
      </c>
      <c r="C15" s="10" t="s">
        <v>40</v>
      </c>
      <c r="D15" s="245">
        <f>SUM(D16:D17)</f>
        <v>111583.408</v>
      </c>
    </row>
    <row r="16" spans="1:4" x14ac:dyDescent="0.25">
      <c r="B16" s="17" t="s">
        <v>13</v>
      </c>
      <c r="C16" s="9" t="s">
        <v>37</v>
      </c>
      <c r="D16" s="246"/>
    </row>
    <row r="17" spans="2:4" x14ac:dyDescent="0.25">
      <c r="B17" s="18" t="s">
        <v>14</v>
      </c>
      <c r="C17" s="4" t="s">
        <v>38</v>
      </c>
      <c r="D17" s="247">
        <v>111583.408</v>
      </c>
    </row>
    <row r="18" spans="2:4" ht="16.5" thickBot="1" x14ac:dyDescent="0.3">
      <c r="B18" s="19" t="s">
        <v>15</v>
      </c>
      <c r="C18" s="12" t="s">
        <v>39</v>
      </c>
      <c r="D18" s="248">
        <v>20830.810000000001</v>
      </c>
    </row>
    <row r="19" spans="2:4" s="1" customFormat="1" ht="16.5" thickBot="1" x14ac:dyDescent="0.3">
      <c r="B19" s="16" t="s">
        <v>16</v>
      </c>
      <c r="C19" s="10" t="s">
        <v>44</v>
      </c>
      <c r="D19" s="245">
        <f>SUM(D20:D21)</f>
        <v>117562.95</v>
      </c>
    </row>
    <row r="20" spans="2:4" x14ac:dyDescent="0.25">
      <c r="B20" s="17" t="s">
        <v>18</v>
      </c>
      <c r="C20" s="9" t="s">
        <v>41</v>
      </c>
      <c r="D20" s="246"/>
    </row>
    <row r="21" spans="2:4" x14ac:dyDescent="0.25">
      <c r="B21" s="18" t="s">
        <v>19</v>
      </c>
      <c r="C21" s="4" t="s">
        <v>42</v>
      </c>
      <c r="D21" s="247">
        <v>117562.95</v>
      </c>
    </row>
    <row r="22" spans="2:4" ht="16.5" thickBot="1" x14ac:dyDescent="0.3">
      <c r="B22" s="19" t="s">
        <v>20</v>
      </c>
      <c r="C22" s="12" t="s">
        <v>43</v>
      </c>
      <c r="D22" s="248">
        <v>115562.95</v>
      </c>
    </row>
    <row r="23" spans="2:4" s="1" customFormat="1" ht="16.5" thickBot="1" x14ac:dyDescent="0.3">
      <c r="B23" s="16" t="s">
        <v>21</v>
      </c>
      <c r="C23" s="10" t="s">
        <v>22</v>
      </c>
      <c r="D23" s="245">
        <f>D24+D27+D28+D29</f>
        <v>118432</v>
      </c>
    </row>
    <row r="24" spans="2:4" x14ac:dyDescent="0.25">
      <c r="B24" s="17" t="s">
        <v>23</v>
      </c>
      <c r="C24" s="9" t="s">
        <v>575</v>
      </c>
      <c r="D24" s="246">
        <f>D25+D26</f>
        <v>106050</v>
      </c>
    </row>
    <row r="25" spans="2:4" x14ac:dyDescent="0.25">
      <c r="B25" s="18" t="s">
        <v>24</v>
      </c>
      <c r="C25" s="4" t="s">
        <v>574</v>
      </c>
      <c r="D25" s="247">
        <v>50</v>
      </c>
    </row>
    <row r="26" spans="2:4" x14ac:dyDescent="0.25">
      <c r="B26" s="18" t="s">
        <v>25</v>
      </c>
      <c r="C26" s="4" t="s">
        <v>48</v>
      </c>
      <c r="D26" s="247">
        <v>106000</v>
      </c>
    </row>
    <row r="27" spans="2:4" x14ac:dyDescent="0.25">
      <c r="B27" s="18" t="s">
        <v>27</v>
      </c>
      <c r="C27" s="4" t="s">
        <v>49</v>
      </c>
      <c r="D27" s="247">
        <v>11000</v>
      </c>
    </row>
    <row r="28" spans="2:4" x14ac:dyDescent="0.25">
      <c r="B28" s="18" t="s">
        <v>28</v>
      </c>
      <c r="C28" s="4" t="s">
        <v>50</v>
      </c>
      <c r="D28" s="247">
        <v>2</v>
      </c>
    </row>
    <row r="29" spans="2:4" ht="16.5" thickBot="1" x14ac:dyDescent="0.3">
      <c r="B29" s="19" t="s">
        <v>29</v>
      </c>
      <c r="C29" s="12" t="s">
        <v>51</v>
      </c>
      <c r="D29" s="248">
        <v>1380</v>
      </c>
    </row>
    <row r="30" spans="2:4" s="1" customFormat="1" ht="16.5" thickBot="1" x14ac:dyDescent="0.3">
      <c r="B30" s="16" t="s">
        <v>30</v>
      </c>
      <c r="C30" s="10" t="s">
        <v>52</v>
      </c>
      <c r="D30" s="245">
        <v>66433.5</v>
      </c>
    </row>
    <row r="31" spans="2:4" s="1" customFormat="1" ht="16.5" thickBot="1" x14ac:dyDescent="0.3">
      <c r="B31" s="21" t="s">
        <v>53</v>
      </c>
      <c r="C31" s="22" t="s">
        <v>54</v>
      </c>
      <c r="D31" s="249"/>
    </row>
    <row r="32" spans="2:4" s="1" customFormat="1" ht="16.5" thickBot="1" x14ac:dyDescent="0.3">
      <c r="B32" s="16" t="s">
        <v>55</v>
      </c>
      <c r="C32" s="10" t="s">
        <v>161</v>
      </c>
      <c r="D32" s="245">
        <v>258</v>
      </c>
    </row>
    <row r="33" spans="2:4" s="1" customFormat="1" ht="16.5" thickBot="1" x14ac:dyDescent="0.3">
      <c r="B33" s="16" t="s">
        <v>57</v>
      </c>
      <c r="C33" s="10" t="s">
        <v>58</v>
      </c>
      <c r="D33" s="245"/>
    </row>
    <row r="34" spans="2:4" s="1" customFormat="1" ht="16.5" thickBot="1" x14ac:dyDescent="0.3">
      <c r="B34" s="16" t="s">
        <v>59</v>
      </c>
      <c r="C34" s="10" t="s">
        <v>138</v>
      </c>
      <c r="D34" s="245">
        <f>D8+D15+D19+D23+D30+D31+D32+D33</f>
        <v>703317.92800000007</v>
      </c>
    </row>
    <row r="35" spans="2:4" s="1" customFormat="1" ht="16.5" thickBot="1" x14ac:dyDescent="0.3">
      <c r="B35" s="16" t="s">
        <v>60</v>
      </c>
      <c r="C35" s="10" t="s">
        <v>61</v>
      </c>
      <c r="D35" s="245">
        <f>SUM(D36:D38)</f>
        <v>0</v>
      </c>
    </row>
    <row r="36" spans="2:4" x14ac:dyDescent="0.25">
      <c r="B36" s="17" t="s">
        <v>62</v>
      </c>
      <c r="C36" s="9" t="s">
        <v>63</v>
      </c>
      <c r="D36" s="246"/>
    </row>
    <row r="37" spans="2:4" x14ac:dyDescent="0.25">
      <c r="B37" s="18" t="s">
        <v>64</v>
      </c>
      <c r="C37" s="4" t="s">
        <v>65</v>
      </c>
      <c r="D37" s="247"/>
    </row>
    <row r="38" spans="2:4" ht="16.5" thickBot="1" x14ac:dyDescent="0.3">
      <c r="B38" s="19" t="s">
        <v>66</v>
      </c>
      <c r="C38" s="12" t="s">
        <v>67</v>
      </c>
      <c r="D38" s="248"/>
    </row>
    <row r="39" spans="2:4" s="1" customFormat="1" ht="16.5" thickBot="1" x14ac:dyDescent="0.3">
      <c r="B39" s="16" t="s">
        <v>68</v>
      </c>
      <c r="C39" s="10" t="s">
        <v>69</v>
      </c>
      <c r="D39" s="245"/>
    </row>
    <row r="40" spans="2:4" s="1" customFormat="1" ht="16.5" thickBot="1" x14ac:dyDescent="0.3">
      <c r="B40" s="16" t="s">
        <v>70</v>
      </c>
      <c r="C40" s="10" t="s">
        <v>71</v>
      </c>
      <c r="D40" s="245">
        <v>659949.11</v>
      </c>
    </row>
    <row r="41" spans="2:4" s="1" customFormat="1" ht="16.5" thickBot="1" x14ac:dyDescent="0.3">
      <c r="B41" s="16" t="s">
        <v>72</v>
      </c>
      <c r="C41" s="10" t="s">
        <v>73</v>
      </c>
      <c r="D41" s="245">
        <f>D42+D43</f>
        <v>0</v>
      </c>
    </row>
    <row r="42" spans="2:4" x14ac:dyDescent="0.25">
      <c r="B42" s="17" t="s">
        <v>74</v>
      </c>
      <c r="C42" s="9" t="s">
        <v>75</v>
      </c>
      <c r="D42" s="246"/>
    </row>
    <row r="43" spans="2:4" ht="16.5" thickBot="1" x14ac:dyDescent="0.3">
      <c r="B43" s="19" t="s">
        <v>76</v>
      </c>
      <c r="C43" s="12" t="s">
        <v>77</v>
      </c>
      <c r="D43" s="248"/>
    </row>
    <row r="44" spans="2:4" s="1" customFormat="1" ht="16.5" thickBot="1" x14ac:dyDescent="0.3">
      <c r="B44" s="16" t="s">
        <v>78</v>
      </c>
      <c r="C44" s="10" t="s">
        <v>79</v>
      </c>
      <c r="D44" s="245"/>
    </row>
    <row r="45" spans="2:4" s="1" customFormat="1" ht="16.5" thickBot="1" x14ac:dyDescent="0.3">
      <c r="B45" s="16" t="s">
        <v>80</v>
      </c>
      <c r="C45" s="10" t="s">
        <v>81</v>
      </c>
      <c r="D45" s="245"/>
    </row>
    <row r="46" spans="2:4" s="1" customFormat="1" ht="16.5" thickBot="1" x14ac:dyDescent="0.3">
      <c r="B46" s="16" t="s">
        <v>82</v>
      </c>
      <c r="C46" s="10" t="s">
        <v>83</v>
      </c>
      <c r="D46" s="245"/>
    </row>
    <row r="47" spans="2:4" s="1" customFormat="1" ht="16.5" thickBot="1" x14ac:dyDescent="0.3">
      <c r="B47" s="16" t="s">
        <v>84</v>
      </c>
      <c r="C47" s="10" t="s">
        <v>85</v>
      </c>
      <c r="D47" s="245">
        <f>D35+D39+D40+D41+D44+D45+D46</f>
        <v>659949.11</v>
      </c>
    </row>
    <row r="48" spans="2:4" s="1" customFormat="1" ht="32.25" thickBot="1" x14ac:dyDescent="0.3">
      <c r="B48" s="16" t="s">
        <v>86</v>
      </c>
      <c r="C48" s="13" t="s">
        <v>87</v>
      </c>
      <c r="D48" s="245">
        <f>D34+D47</f>
        <v>1363267.0380000002</v>
      </c>
    </row>
    <row r="50" spans="2:4" x14ac:dyDescent="0.25">
      <c r="B50" s="352" t="s">
        <v>89</v>
      </c>
      <c r="C50" s="352"/>
      <c r="D50" s="352"/>
    </row>
    <row r="51" spans="2:4" ht="16.5" thickBot="1" x14ac:dyDescent="0.3">
      <c r="B51" s="20" t="s">
        <v>90</v>
      </c>
      <c r="C51" s="1"/>
      <c r="D51" s="250"/>
    </row>
    <row r="52" spans="2:4" ht="32.25" thickBot="1" x14ac:dyDescent="0.3">
      <c r="B52" s="26" t="s">
        <v>5</v>
      </c>
      <c r="C52" s="10" t="s">
        <v>91</v>
      </c>
      <c r="D52" s="245" t="s">
        <v>439</v>
      </c>
    </row>
    <row r="53" spans="2:4" ht="16.5" thickBot="1" x14ac:dyDescent="0.3">
      <c r="B53" s="16" t="s">
        <v>4</v>
      </c>
      <c r="C53" s="10" t="s">
        <v>109</v>
      </c>
      <c r="D53" s="245">
        <f>D54+D55+D56+D57+D58+D64</f>
        <v>743505.853</v>
      </c>
    </row>
    <row r="54" spans="2:4" x14ac:dyDescent="0.25">
      <c r="B54" s="23" t="s">
        <v>7</v>
      </c>
      <c r="C54" s="9" t="s">
        <v>92</v>
      </c>
      <c r="D54" s="251">
        <v>351143.73</v>
      </c>
    </row>
    <row r="55" spans="2:4" x14ac:dyDescent="0.25">
      <c r="B55" s="24" t="s">
        <v>8</v>
      </c>
      <c r="C55" s="4" t="s">
        <v>93</v>
      </c>
      <c r="D55" s="252">
        <v>63075.248</v>
      </c>
    </row>
    <row r="56" spans="2:4" x14ac:dyDescent="0.25">
      <c r="B56" s="24" t="s">
        <v>9</v>
      </c>
      <c r="C56" s="4" t="s">
        <v>94</v>
      </c>
      <c r="D56" s="252">
        <v>248725.177</v>
      </c>
    </row>
    <row r="57" spans="2:4" x14ac:dyDescent="0.25">
      <c r="B57" s="24" t="s">
        <v>10</v>
      </c>
      <c r="C57" s="4" t="s">
        <v>310</v>
      </c>
      <c r="D57" s="252">
        <v>5300</v>
      </c>
    </row>
    <row r="58" spans="2:4" x14ac:dyDescent="0.25">
      <c r="B58" s="24" t="s">
        <v>11</v>
      </c>
      <c r="C58" s="4" t="s">
        <v>96</v>
      </c>
      <c r="D58" s="252">
        <f>SUM(D59:D63)</f>
        <v>44118.303</v>
      </c>
    </row>
    <row r="59" spans="2:4" x14ac:dyDescent="0.25">
      <c r="B59" s="24" t="s">
        <v>12</v>
      </c>
      <c r="C59" s="25" t="s">
        <v>97</v>
      </c>
      <c r="D59" s="252"/>
    </row>
    <row r="60" spans="2:4" x14ac:dyDescent="0.25">
      <c r="B60" s="24" t="s">
        <v>98</v>
      </c>
      <c r="C60" s="4" t="s">
        <v>104</v>
      </c>
      <c r="D60" s="252"/>
    </row>
    <row r="61" spans="2:4" x14ac:dyDescent="0.25">
      <c r="B61" s="24" t="s">
        <v>99</v>
      </c>
      <c r="C61" s="4" t="s">
        <v>139</v>
      </c>
      <c r="D61" s="252"/>
    </row>
    <row r="62" spans="2:4" x14ac:dyDescent="0.25">
      <c r="B62" s="24" t="s">
        <v>100</v>
      </c>
      <c r="C62" s="4" t="s">
        <v>140</v>
      </c>
      <c r="D62" s="252">
        <v>22284.203000000001</v>
      </c>
    </row>
    <row r="63" spans="2:4" x14ac:dyDescent="0.25">
      <c r="B63" s="24" t="s">
        <v>101</v>
      </c>
      <c r="C63" s="4" t="s">
        <v>141</v>
      </c>
      <c r="D63" s="252">
        <v>21834.1</v>
      </c>
    </row>
    <row r="64" spans="2:4" x14ac:dyDescent="0.25">
      <c r="B64" s="24" t="s">
        <v>102</v>
      </c>
      <c r="C64" s="4" t="s">
        <v>103</v>
      </c>
      <c r="D64" s="252">
        <f>SUM(D65:D66)</f>
        <v>31143.394999999997</v>
      </c>
    </row>
    <row r="65" spans="2:4" x14ac:dyDescent="0.25">
      <c r="B65" s="24" t="s">
        <v>105</v>
      </c>
      <c r="C65" s="4" t="s">
        <v>106</v>
      </c>
      <c r="D65" s="252">
        <v>5778.0079999999998</v>
      </c>
    </row>
    <row r="66" spans="2:4" ht="16.5" thickBot="1" x14ac:dyDescent="0.3">
      <c r="B66" s="27" t="s">
        <v>107</v>
      </c>
      <c r="C66" s="12" t="s">
        <v>108</v>
      </c>
      <c r="D66" s="253">
        <v>25365.386999999999</v>
      </c>
    </row>
    <row r="67" spans="2:4" ht="16.5" thickBot="1" x14ac:dyDescent="0.3">
      <c r="B67" s="16" t="s">
        <v>6</v>
      </c>
      <c r="C67" s="10" t="s">
        <v>122</v>
      </c>
      <c r="D67" s="245">
        <f>D68+D70+D72</f>
        <v>604409.86200000008</v>
      </c>
    </row>
    <row r="68" spans="2:4" x14ac:dyDescent="0.25">
      <c r="B68" s="23" t="s">
        <v>13</v>
      </c>
      <c r="C68" s="9" t="s">
        <v>110</v>
      </c>
      <c r="D68" s="251">
        <v>575368.06200000003</v>
      </c>
    </row>
    <row r="69" spans="2:4" x14ac:dyDescent="0.25">
      <c r="B69" s="24" t="s">
        <v>111</v>
      </c>
      <c r="C69" s="4" t="s">
        <v>112</v>
      </c>
      <c r="D69" s="252">
        <v>568754.88199999998</v>
      </c>
    </row>
    <row r="70" spans="2:4" x14ac:dyDescent="0.25">
      <c r="B70" s="24" t="s">
        <v>15</v>
      </c>
      <c r="C70" s="4" t="s">
        <v>113</v>
      </c>
      <c r="D70" s="252">
        <v>28041.8</v>
      </c>
    </row>
    <row r="71" spans="2:4" x14ac:dyDescent="0.25">
      <c r="B71" s="24" t="s">
        <v>114</v>
      </c>
      <c r="C71" s="4" t="s">
        <v>115</v>
      </c>
      <c r="D71" s="252">
        <v>23859</v>
      </c>
    </row>
    <row r="72" spans="2:4" x14ac:dyDescent="0.25">
      <c r="B72" s="24" t="s">
        <v>116</v>
      </c>
      <c r="C72" s="4" t="s">
        <v>117</v>
      </c>
      <c r="D72" s="252">
        <f>D73+D74</f>
        <v>1000</v>
      </c>
    </row>
    <row r="73" spans="2:4" x14ac:dyDescent="0.25">
      <c r="B73" s="24" t="s">
        <v>118</v>
      </c>
      <c r="C73" s="4" t="s">
        <v>119</v>
      </c>
      <c r="D73" s="252"/>
    </row>
    <row r="74" spans="2:4" ht="16.5" thickBot="1" x14ac:dyDescent="0.3">
      <c r="B74" s="27" t="s">
        <v>120</v>
      </c>
      <c r="C74" s="12" t="s">
        <v>121</v>
      </c>
      <c r="D74" s="253">
        <v>1000</v>
      </c>
    </row>
    <row r="75" spans="2:4" ht="16.5" thickBot="1" x14ac:dyDescent="0.3">
      <c r="B75" s="16" t="s">
        <v>16</v>
      </c>
      <c r="C75" s="10" t="s">
        <v>123</v>
      </c>
      <c r="D75" s="245">
        <f>D53+D67</f>
        <v>1347915.7150000001</v>
      </c>
    </row>
    <row r="76" spans="2:4" ht="16.5" thickBot="1" x14ac:dyDescent="0.3">
      <c r="B76" s="16" t="s">
        <v>21</v>
      </c>
      <c r="C76" s="10" t="s">
        <v>127</v>
      </c>
      <c r="D76" s="245">
        <f>SUM(D77:D79)</f>
        <v>5320</v>
      </c>
    </row>
    <row r="77" spans="2:4" x14ac:dyDescent="0.25">
      <c r="B77" s="23" t="s">
        <v>23</v>
      </c>
      <c r="C77" s="9" t="s">
        <v>124</v>
      </c>
      <c r="D77" s="251">
        <v>5320</v>
      </c>
    </row>
    <row r="78" spans="2:4" x14ac:dyDescent="0.25">
      <c r="B78" s="24" t="s">
        <v>27</v>
      </c>
      <c r="C78" s="4" t="s">
        <v>125</v>
      </c>
      <c r="D78" s="252"/>
    </row>
    <row r="79" spans="2:4" ht="16.5" thickBot="1" x14ac:dyDescent="0.3">
      <c r="B79" s="27" t="s">
        <v>28</v>
      </c>
      <c r="C79" s="12" t="s">
        <v>126</v>
      </c>
      <c r="D79" s="253"/>
    </row>
    <row r="80" spans="2:4" ht="16.5" thickBot="1" x14ac:dyDescent="0.3">
      <c r="B80" s="30" t="s">
        <v>30</v>
      </c>
      <c r="C80" s="31" t="s">
        <v>128</v>
      </c>
      <c r="D80" s="254"/>
    </row>
    <row r="81" spans="1:4" ht="16.5" thickBot="1" x14ac:dyDescent="0.3">
      <c r="B81" s="16" t="s">
        <v>53</v>
      </c>
      <c r="C81" s="10" t="s">
        <v>131</v>
      </c>
      <c r="D81" s="245">
        <f>D82</f>
        <v>10031.323</v>
      </c>
    </row>
    <row r="82" spans="1:4" ht="16.5" thickBot="1" x14ac:dyDescent="0.3">
      <c r="B82" s="28" t="s">
        <v>129</v>
      </c>
      <c r="C82" s="29" t="s">
        <v>130</v>
      </c>
      <c r="D82" s="255">
        <v>10031.323</v>
      </c>
    </row>
    <row r="83" spans="1:4" ht="16.5" thickBot="1" x14ac:dyDescent="0.3">
      <c r="B83" s="16" t="s">
        <v>55</v>
      </c>
      <c r="C83" s="10" t="s">
        <v>132</v>
      </c>
      <c r="D83" s="245"/>
    </row>
    <row r="84" spans="1:4" ht="16.5" thickBot="1" x14ac:dyDescent="0.3">
      <c r="B84" s="16" t="s">
        <v>57</v>
      </c>
      <c r="C84" s="10" t="s">
        <v>133</v>
      </c>
      <c r="D84" s="245"/>
    </row>
    <row r="85" spans="1:4" ht="16.5" thickBot="1" x14ac:dyDescent="0.3">
      <c r="B85" s="16" t="s">
        <v>134</v>
      </c>
      <c r="C85" s="10" t="s">
        <v>135</v>
      </c>
      <c r="D85" s="245"/>
    </row>
    <row r="86" spans="1:4" ht="16.5" thickBot="1" x14ac:dyDescent="0.3">
      <c r="B86" s="16" t="s">
        <v>60</v>
      </c>
      <c r="C86" s="10" t="s">
        <v>136</v>
      </c>
      <c r="D86" s="245">
        <f>D76+D80+D81+D83+D84+D85</f>
        <v>15351.323</v>
      </c>
    </row>
    <row r="87" spans="1:4" ht="16.5" thickBot="1" x14ac:dyDescent="0.3">
      <c r="B87" s="16" t="s">
        <v>68</v>
      </c>
      <c r="C87" s="10" t="s">
        <v>137</v>
      </c>
      <c r="D87" s="245">
        <f>D75+D86</f>
        <v>1363267.0380000002</v>
      </c>
    </row>
    <row r="89" spans="1:4" s="33" customFormat="1" ht="29.25" customHeight="1" x14ac:dyDescent="0.25">
      <c r="A89" s="274"/>
      <c r="B89" s="350" t="s">
        <v>142</v>
      </c>
      <c r="C89" s="350"/>
      <c r="D89" s="350"/>
    </row>
    <row r="90" spans="1:4" ht="16.5" thickBot="1" x14ac:dyDescent="0.3">
      <c r="B90" s="20" t="s">
        <v>143</v>
      </c>
      <c r="C90" s="1"/>
      <c r="D90" s="243"/>
    </row>
    <row r="91" spans="1:4" ht="32.25" thickBot="1" x14ac:dyDescent="0.3">
      <c r="B91" s="16" t="s">
        <v>4</v>
      </c>
      <c r="C91" s="13" t="s">
        <v>144</v>
      </c>
      <c r="D91" s="245">
        <f>D34-D75</f>
        <v>-644597.78700000001</v>
      </c>
    </row>
    <row r="92" spans="1:4" ht="32.25" thickBot="1" x14ac:dyDescent="0.3">
      <c r="B92" s="16" t="s">
        <v>6</v>
      </c>
      <c r="C92" s="13" t="s">
        <v>145</v>
      </c>
      <c r="D92" s="245">
        <f>D47-D86</f>
        <v>644597.78700000001</v>
      </c>
    </row>
    <row r="95" spans="1:4" x14ac:dyDescent="0.25">
      <c r="C95" s="275" t="s">
        <v>397</v>
      </c>
    </row>
    <row r="96" spans="1:4" x14ac:dyDescent="0.25">
      <c r="C96" s="2" t="s">
        <v>0</v>
      </c>
    </row>
    <row r="97" spans="2:4" x14ac:dyDescent="0.25">
      <c r="C97" s="349" t="s">
        <v>398</v>
      </c>
    </row>
    <row r="98" spans="2:4" x14ac:dyDescent="0.25">
      <c r="C98" s="2" t="s">
        <v>399</v>
      </c>
    </row>
    <row r="99" spans="2:4" x14ac:dyDescent="0.25">
      <c r="C99" s="2" t="s">
        <v>400</v>
      </c>
    </row>
    <row r="100" spans="2:4" x14ac:dyDescent="0.25">
      <c r="C100" s="349" t="s">
        <v>612</v>
      </c>
    </row>
    <row r="101" spans="2:4" x14ac:dyDescent="0.25">
      <c r="C101" s="349" t="s">
        <v>601</v>
      </c>
    </row>
    <row r="102" spans="2:4" x14ac:dyDescent="0.25">
      <c r="C102" s="2" t="s">
        <v>602</v>
      </c>
    </row>
    <row r="103" spans="2:4" x14ac:dyDescent="0.25">
      <c r="C103" s="349" t="s">
        <v>604</v>
      </c>
    </row>
    <row r="104" spans="2:4" x14ac:dyDescent="0.25">
      <c r="C104" s="2" t="s">
        <v>603</v>
      </c>
    </row>
    <row r="106" spans="2:4" x14ac:dyDescent="0.25">
      <c r="C106" s="2" t="s">
        <v>401</v>
      </c>
    </row>
    <row r="107" spans="2:4" x14ac:dyDescent="0.25">
      <c r="C107" s="349" t="s">
        <v>605</v>
      </c>
    </row>
    <row r="108" spans="2:4" x14ac:dyDescent="0.25">
      <c r="C108" s="2" t="s">
        <v>606</v>
      </c>
    </row>
    <row r="110" spans="2:4" x14ac:dyDescent="0.25">
      <c r="C110" s="2" t="s">
        <v>402</v>
      </c>
    </row>
    <row r="111" spans="2:4" s="334" customFormat="1" x14ac:dyDescent="0.25">
      <c r="B111" s="347"/>
      <c r="C111" s="349" t="s">
        <v>607</v>
      </c>
      <c r="D111" s="348"/>
    </row>
    <row r="112" spans="2:4" s="334" customFormat="1" x14ac:dyDescent="0.25">
      <c r="B112" s="347"/>
      <c r="C112" s="334" t="s">
        <v>608</v>
      </c>
      <c r="D112" s="348"/>
    </row>
    <row r="114" spans="3:3" x14ac:dyDescent="0.25">
      <c r="C114" s="2" t="s">
        <v>403</v>
      </c>
    </row>
    <row r="115" spans="3:3" x14ac:dyDescent="0.25">
      <c r="C115" s="349" t="s">
        <v>404</v>
      </c>
    </row>
    <row r="117" spans="3:3" x14ac:dyDescent="0.25">
      <c r="C117" s="2" t="s">
        <v>405</v>
      </c>
    </row>
    <row r="118" spans="3:3" x14ac:dyDescent="0.25">
      <c r="C118" s="349" t="s">
        <v>609</v>
      </c>
    </row>
    <row r="119" spans="3:3" x14ac:dyDescent="0.25">
      <c r="C119" s="349" t="s">
        <v>610</v>
      </c>
    </row>
    <row r="120" spans="3:3" x14ac:dyDescent="0.25">
      <c r="C120" s="349" t="s">
        <v>611</v>
      </c>
    </row>
    <row r="121" spans="3:3" x14ac:dyDescent="0.25">
      <c r="C121" s="334"/>
    </row>
    <row r="123" spans="3:3" x14ac:dyDescent="0.25">
      <c r="C123" s="339" t="s">
        <v>613</v>
      </c>
    </row>
    <row r="124" spans="3:3" x14ac:dyDescent="0.25">
      <c r="C124" s="2" t="s">
        <v>614</v>
      </c>
    </row>
    <row r="125" spans="3:3" x14ac:dyDescent="0.25">
      <c r="C125" s="2" t="s">
        <v>615</v>
      </c>
    </row>
    <row r="126" spans="3:3" x14ac:dyDescent="0.25">
      <c r="C126" s="2" t="s">
        <v>616</v>
      </c>
    </row>
    <row r="127" spans="3:3" x14ac:dyDescent="0.25">
      <c r="C127" s="2" t="s">
        <v>617</v>
      </c>
    </row>
  </sheetData>
  <mergeCells count="6">
    <mergeCell ref="B89:D89"/>
    <mergeCell ref="B1:D1"/>
    <mergeCell ref="B2:D2"/>
    <mergeCell ref="B3:D3"/>
    <mergeCell ref="B4:D4"/>
    <mergeCell ref="B50:D50"/>
  </mergeCells>
  <pageMargins left="0.70866141732283461" right="0.70866141732283461" top="0.74803149606299213" bottom="0.74803149606299213" header="0.31496062992125984" footer="0.31496062992125984"/>
  <pageSetup paperSize="9" scale="77" fitToHeight="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7"/>
  <sheetViews>
    <sheetView view="pageLayout" zoomScaleNormal="100" workbookViewId="0">
      <selection activeCell="J7" sqref="J7"/>
    </sheetView>
  </sheetViews>
  <sheetFormatPr defaultRowHeight="15" x14ac:dyDescent="0.25"/>
  <cols>
    <col min="1" max="1" width="5.28515625" style="86" customWidth="1"/>
    <col min="2" max="2" width="13.28515625" style="86" customWidth="1"/>
    <col min="3" max="3" width="35.140625" style="86" customWidth="1"/>
    <col min="4" max="4" width="10.7109375" style="86" customWidth="1"/>
    <col min="5" max="5" width="13.7109375" style="86" customWidth="1"/>
    <col min="6" max="6" width="13.85546875" style="86" customWidth="1"/>
    <col min="7" max="7" width="13.28515625" style="86" customWidth="1"/>
    <col min="8" max="8" width="15.28515625" style="86" customWidth="1"/>
    <col min="9" max="9" width="13.85546875" style="86" customWidth="1"/>
    <col min="10" max="10" width="14.140625" style="86" customWidth="1"/>
    <col min="11" max="11" width="12.42578125" style="86" bestFit="1" customWidth="1"/>
    <col min="12" max="16384" width="9.140625" style="86"/>
  </cols>
  <sheetData>
    <row r="1" spans="1:12" x14ac:dyDescent="0.25">
      <c r="H1" s="366" t="s">
        <v>456</v>
      </c>
      <c r="I1" s="367"/>
      <c r="J1" s="367"/>
      <c r="K1" s="367"/>
    </row>
    <row r="2" spans="1:12" x14ac:dyDescent="0.25">
      <c r="A2" s="82"/>
      <c r="B2" s="82" t="s">
        <v>150</v>
      </c>
      <c r="C2" s="82" t="s">
        <v>172</v>
      </c>
      <c r="D2" s="82" t="s">
        <v>151</v>
      </c>
      <c r="E2" s="82" t="s">
        <v>152</v>
      </c>
      <c r="F2" s="82" t="s">
        <v>153</v>
      </c>
      <c r="G2" s="82" t="s">
        <v>193</v>
      </c>
      <c r="H2" s="82" t="s">
        <v>229</v>
      </c>
      <c r="I2" s="82" t="s">
        <v>230</v>
      </c>
      <c r="J2" s="82" t="s">
        <v>231</v>
      </c>
      <c r="K2" s="82" t="s">
        <v>232</v>
      </c>
      <c r="L2" s="91"/>
    </row>
    <row r="3" spans="1:12" ht="54.75" customHeight="1" x14ac:dyDescent="0.25">
      <c r="A3" s="82">
        <v>1</v>
      </c>
      <c r="B3" s="82"/>
      <c r="C3" s="364" t="s">
        <v>457</v>
      </c>
      <c r="D3" s="365"/>
      <c r="E3" s="365"/>
      <c r="F3" s="365"/>
      <c r="G3" s="365"/>
      <c r="H3" s="365"/>
      <c r="I3" s="365"/>
      <c r="J3" s="365"/>
      <c r="K3" s="365"/>
    </row>
    <row r="4" spans="1:12" ht="84" customHeight="1" x14ac:dyDescent="0.25">
      <c r="A4" s="82">
        <v>2</v>
      </c>
      <c r="B4" s="92" t="s">
        <v>292</v>
      </c>
      <c r="C4" s="93" t="s">
        <v>234</v>
      </c>
      <c r="D4" s="71" t="s">
        <v>160</v>
      </c>
      <c r="E4" s="71" t="s">
        <v>159</v>
      </c>
      <c r="F4" s="71" t="s">
        <v>236</v>
      </c>
      <c r="G4" s="71" t="s">
        <v>237</v>
      </c>
      <c r="H4" s="71" t="s">
        <v>238</v>
      </c>
      <c r="I4" s="71" t="s">
        <v>281</v>
      </c>
      <c r="J4" s="71" t="s">
        <v>282</v>
      </c>
      <c r="K4" s="94" t="s">
        <v>239</v>
      </c>
    </row>
    <row r="5" spans="1:12" ht="28.5" x14ac:dyDescent="0.25">
      <c r="A5" s="82">
        <v>3</v>
      </c>
      <c r="B5" s="95"/>
      <c r="C5" s="93" t="s">
        <v>283</v>
      </c>
      <c r="D5" s="71" t="s">
        <v>502</v>
      </c>
      <c r="E5" s="71" t="s">
        <v>502</v>
      </c>
      <c r="F5" s="71" t="s">
        <v>502</v>
      </c>
      <c r="G5" s="71" t="s">
        <v>502</v>
      </c>
      <c r="H5" s="71" t="s">
        <v>502</v>
      </c>
      <c r="I5" s="71" t="s">
        <v>502</v>
      </c>
      <c r="J5" s="71" t="s">
        <v>502</v>
      </c>
      <c r="K5" s="71" t="s">
        <v>502</v>
      </c>
    </row>
    <row r="6" spans="1:12" x14ac:dyDescent="0.25">
      <c r="A6" s="82">
        <v>4</v>
      </c>
      <c r="B6" s="96" t="s">
        <v>241</v>
      </c>
      <c r="C6" s="97" t="s">
        <v>304</v>
      </c>
      <c r="D6" s="238">
        <v>6.5</v>
      </c>
      <c r="E6" s="238"/>
      <c r="F6" s="290"/>
      <c r="G6" s="290"/>
      <c r="H6" s="290"/>
      <c r="I6" s="290"/>
      <c r="J6" s="291">
        <v>99671.2</v>
      </c>
      <c r="K6" s="231">
        <f>D6+E6+F6+G6+H6+I6+J6</f>
        <v>99677.7</v>
      </c>
    </row>
    <row r="7" spans="1:12" s="100" customFormat="1" x14ac:dyDescent="0.25">
      <c r="A7" s="82">
        <v>6</v>
      </c>
      <c r="B7" s="98"/>
      <c r="C7" s="99" t="s">
        <v>287</v>
      </c>
      <c r="D7" s="292">
        <f t="shared" ref="D7:J7" si="0">SUM(D6:D6)</f>
        <v>6.5</v>
      </c>
      <c r="E7" s="292">
        <f t="shared" si="0"/>
        <v>0</v>
      </c>
      <c r="F7" s="292">
        <f t="shared" si="0"/>
        <v>0</v>
      </c>
      <c r="G7" s="292">
        <f t="shared" si="0"/>
        <v>0</v>
      </c>
      <c r="H7" s="292">
        <f t="shared" si="0"/>
        <v>0</v>
      </c>
      <c r="I7" s="292">
        <f t="shared" si="0"/>
        <v>0</v>
      </c>
      <c r="J7" s="293">
        <f t="shared" si="0"/>
        <v>99671.2</v>
      </c>
      <c r="K7" s="231">
        <f t="shared" ref="K7" si="1">D7+E7+F7+G7+H7+I7+J7</f>
        <v>99677.7</v>
      </c>
    </row>
    <row r="8" spans="1:12" x14ac:dyDescent="0.25">
      <c r="A8" s="82">
        <v>7</v>
      </c>
      <c r="B8" s="96"/>
      <c r="C8" s="97" t="s">
        <v>271</v>
      </c>
      <c r="D8" s="240">
        <f t="shared" ref="D8:K8" si="2">SUMIF($B6:$B6,"kötelező",D6:D6)</f>
        <v>6.5</v>
      </c>
      <c r="E8" s="240">
        <f t="shared" si="2"/>
        <v>0</v>
      </c>
      <c r="F8" s="240">
        <f t="shared" si="2"/>
        <v>0</v>
      </c>
      <c r="G8" s="240">
        <f t="shared" si="2"/>
        <v>0</v>
      </c>
      <c r="H8" s="240">
        <f t="shared" si="2"/>
        <v>0</v>
      </c>
      <c r="I8" s="240">
        <f t="shared" si="2"/>
        <v>0</v>
      </c>
      <c r="J8" s="240">
        <f t="shared" si="2"/>
        <v>99671.2</v>
      </c>
      <c r="K8" s="240">
        <f t="shared" si="2"/>
        <v>99677.7</v>
      </c>
    </row>
    <row r="9" spans="1:12" x14ac:dyDescent="0.25">
      <c r="A9" s="82">
        <v>8</v>
      </c>
      <c r="B9" s="96"/>
      <c r="C9" s="97" t="s">
        <v>272</v>
      </c>
      <c r="D9" s="240">
        <f t="shared" ref="D9:K9" si="3">SUMIF($B6:$B6,"nem kötelező",D6:D6)</f>
        <v>0</v>
      </c>
      <c r="E9" s="240">
        <f t="shared" si="3"/>
        <v>0</v>
      </c>
      <c r="F9" s="240">
        <f t="shared" si="3"/>
        <v>0</v>
      </c>
      <c r="G9" s="240">
        <f t="shared" si="3"/>
        <v>0</v>
      </c>
      <c r="H9" s="240">
        <f t="shared" si="3"/>
        <v>0</v>
      </c>
      <c r="I9" s="240">
        <f t="shared" si="3"/>
        <v>0</v>
      </c>
      <c r="J9" s="240">
        <f t="shared" si="3"/>
        <v>0</v>
      </c>
      <c r="K9" s="240">
        <f t="shared" si="3"/>
        <v>0</v>
      </c>
    </row>
    <row r="10" spans="1:12" x14ac:dyDescent="0.25">
      <c r="B10" s="101"/>
      <c r="C10" s="101"/>
      <c r="D10" s="101"/>
      <c r="E10" s="101"/>
      <c r="F10" s="101"/>
      <c r="G10" s="101"/>
      <c r="H10" s="101"/>
      <c r="I10" s="101"/>
      <c r="J10" s="101"/>
      <c r="K10" s="101"/>
    </row>
    <row r="17" spans="5:5" x14ac:dyDescent="0.25">
      <c r="E17" s="86" t="s">
        <v>305</v>
      </c>
    </row>
  </sheetData>
  <mergeCells count="2">
    <mergeCell ref="C3:K3"/>
    <mergeCell ref="H1:K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7"/>
  <sheetViews>
    <sheetView view="pageLayout" zoomScaleNormal="100" workbookViewId="0">
      <selection activeCell="F12" sqref="F12"/>
    </sheetView>
  </sheetViews>
  <sheetFormatPr defaultRowHeight="15" x14ac:dyDescent="0.25"/>
  <cols>
    <col min="1" max="1" width="5.28515625" style="78" customWidth="1"/>
    <col min="2" max="2" width="13.28515625" style="78" customWidth="1"/>
    <col min="3" max="3" width="28" style="78" customWidth="1"/>
    <col min="4" max="11" width="16" style="78" customWidth="1"/>
    <col min="12" max="12" width="0" style="77" hidden="1" customWidth="1"/>
    <col min="13" max="16384" width="9.140625" style="78"/>
  </cols>
  <sheetData>
    <row r="1" spans="1:12" x14ac:dyDescent="0.25">
      <c r="I1" s="68"/>
      <c r="J1" s="68"/>
      <c r="K1" s="139" t="s">
        <v>458</v>
      </c>
    </row>
    <row r="2" spans="1:12" x14ac:dyDescent="0.25">
      <c r="A2" s="67"/>
      <c r="B2" s="67"/>
      <c r="C2" s="67" t="s">
        <v>150</v>
      </c>
      <c r="D2" s="67" t="s">
        <v>172</v>
      </c>
      <c r="E2" s="67" t="s">
        <v>152</v>
      </c>
      <c r="F2" s="67" t="s">
        <v>193</v>
      </c>
      <c r="G2" s="67" t="s">
        <v>230</v>
      </c>
      <c r="H2" s="67" t="s">
        <v>232</v>
      </c>
      <c r="I2" s="67" t="s">
        <v>289</v>
      </c>
      <c r="J2" s="67" t="s">
        <v>290</v>
      </c>
      <c r="K2" s="67" t="s">
        <v>291</v>
      </c>
    </row>
    <row r="3" spans="1:12" ht="18.75" x14ac:dyDescent="0.25">
      <c r="A3" s="67">
        <v>1</v>
      </c>
      <c r="B3" s="67"/>
      <c r="C3" s="361" t="s">
        <v>459</v>
      </c>
      <c r="D3" s="361"/>
      <c r="E3" s="361"/>
      <c r="F3" s="361"/>
      <c r="G3" s="361"/>
      <c r="H3" s="361"/>
      <c r="I3" s="361"/>
      <c r="J3" s="361"/>
      <c r="K3" s="361"/>
    </row>
    <row r="4" spans="1:12" s="271" customFormat="1" ht="57" customHeight="1" x14ac:dyDescent="0.2">
      <c r="A4" s="266">
        <v>2</v>
      </c>
      <c r="B4" s="267" t="s">
        <v>292</v>
      </c>
      <c r="C4" s="268" t="s">
        <v>234</v>
      </c>
      <c r="D4" s="269" t="s">
        <v>160</v>
      </c>
      <c r="E4" s="269" t="s">
        <v>159</v>
      </c>
      <c r="F4" s="269" t="s">
        <v>236</v>
      </c>
      <c r="G4" s="269" t="s">
        <v>237</v>
      </c>
      <c r="H4" s="269" t="s">
        <v>238</v>
      </c>
      <c r="I4" s="269" t="s">
        <v>433</v>
      </c>
      <c r="J4" s="269" t="s">
        <v>282</v>
      </c>
      <c r="K4" s="269" t="s">
        <v>239</v>
      </c>
      <c r="L4" s="270" t="s">
        <v>293</v>
      </c>
    </row>
    <row r="5" spans="1:12" ht="30" x14ac:dyDescent="0.25">
      <c r="A5" s="67">
        <v>3</v>
      </c>
      <c r="B5" s="80"/>
      <c r="C5" s="72" t="s">
        <v>283</v>
      </c>
      <c r="D5" s="71" t="s">
        <v>502</v>
      </c>
      <c r="E5" s="71" t="s">
        <v>502</v>
      </c>
      <c r="F5" s="71" t="s">
        <v>502</v>
      </c>
      <c r="G5" s="71" t="s">
        <v>502</v>
      </c>
      <c r="H5" s="71" t="s">
        <v>502</v>
      </c>
      <c r="I5" s="71" t="s">
        <v>502</v>
      </c>
      <c r="J5" s="71" t="s">
        <v>502</v>
      </c>
      <c r="K5" s="71" t="s">
        <v>502</v>
      </c>
      <c r="L5" s="81" t="s">
        <v>294</v>
      </c>
    </row>
    <row r="6" spans="1:12" s="86" customFormat="1" x14ac:dyDescent="0.25">
      <c r="A6" s="82">
        <v>4</v>
      </c>
      <c r="B6" s="125" t="s">
        <v>241</v>
      </c>
      <c r="C6" s="127" t="s">
        <v>381</v>
      </c>
      <c r="D6" s="228">
        <v>1255</v>
      </c>
      <c r="E6" s="228"/>
      <c r="F6" s="229">
        <f>232+956+166.9</f>
        <v>1354.9</v>
      </c>
      <c r="G6" s="229"/>
      <c r="H6" s="229"/>
      <c r="I6" s="229"/>
      <c r="J6" s="230">
        <v>13629.1</v>
      </c>
      <c r="K6" s="231">
        <f t="shared" ref="K6:K13" si="0">D6+E6+F6+G6+H6+I6+J6</f>
        <v>16239</v>
      </c>
      <c r="L6" s="85">
        <v>350</v>
      </c>
    </row>
    <row r="7" spans="1:12" s="86" customFormat="1" x14ac:dyDescent="0.25">
      <c r="A7" s="82">
        <v>6</v>
      </c>
      <c r="B7" s="125" t="s">
        <v>247</v>
      </c>
      <c r="C7" s="127" t="s">
        <v>382</v>
      </c>
      <c r="D7" s="228"/>
      <c r="E7" s="228"/>
      <c r="F7" s="229"/>
      <c r="G7" s="229"/>
      <c r="H7" s="229"/>
      <c r="I7" s="229"/>
      <c r="J7" s="230">
        <v>70</v>
      </c>
      <c r="K7" s="231">
        <f t="shared" si="0"/>
        <v>70</v>
      </c>
      <c r="L7" s="85"/>
    </row>
    <row r="8" spans="1:12" s="86" customFormat="1" x14ac:dyDescent="0.25">
      <c r="A8" s="82">
        <v>7</v>
      </c>
      <c r="B8" s="125" t="s">
        <v>247</v>
      </c>
      <c r="C8" s="127" t="s">
        <v>383</v>
      </c>
      <c r="D8" s="228">
        <v>23</v>
      </c>
      <c r="E8" s="228"/>
      <c r="F8" s="229"/>
      <c r="G8" s="229"/>
      <c r="H8" s="229"/>
      <c r="I8" s="229"/>
      <c r="J8" s="230">
        <v>1077</v>
      </c>
      <c r="K8" s="231">
        <f t="shared" si="0"/>
        <v>1100</v>
      </c>
      <c r="L8" s="85">
        <v>13</v>
      </c>
    </row>
    <row r="9" spans="1:12" s="86" customFormat="1" x14ac:dyDescent="0.25">
      <c r="A9" s="82">
        <v>8</v>
      </c>
      <c r="B9" s="125" t="s">
        <v>247</v>
      </c>
      <c r="C9" s="127" t="s">
        <v>384</v>
      </c>
      <c r="D9" s="228">
        <v>348</v>
      </c>
      <c r="E9" s="228"/>
      <c r="F9" s="229"/>
      <c r="G9" s="229"/>
      <c r="H9" s="229"/>
      <c r="I9" s="229"/>
      <c r="J9" s="230">
        <v>1652</v>
      </c>
      <c r="K9" s="231">
        <f t="shared" si="0"/>
        <v>2000</v>
      </c>
      <c r="L9" s="85"/>
    </row>
    <row r="10" spans="1:12" s="86" customFormat="1" x14ac:dyDescent="0.25">
      <c r="A10" s="82">
        <v>9</v>
      </c>
      <c r="B10" s="125" t="s">
        <v>247</v>
      </c>
      <c r="C10" s="127" t="s">
        <v>424</v>
      </c>
      <c r="D10" s="228"/>
      <c r="E10" s="228"/>
      <c r="F10" s="229"/>
      <c r="G10" s="229"/>
      <c r="H10" s="229"/>
      <c r="I10" s="229"/>
      <c r="J10" s="230">
        <v>1000</v>
      </c>
      <c r="K10" s="231">
        <f t="shared" si="0"/>
        <v>1000</v>
      </c>
      <c r="L10" s="85"/>
    </row>
    <row r="11" spans="1:12" s="86" customFormat="1" x14ac:dyDescent="0.25">
      <c r="A11" s="82">
        <v>10</v>
      </c>
      <c r="B11" s="125" t="s">
        <v>247</v>
      </c>
      <c r="C11" s="127" t="s">
        <v>425</v>
      </c>
      <c r="D11" s="228"/>
      <c r="E11" s="228"/>
      <c r="F11" s="229"/>
      <c r="G11" s="229"/>
      <c r="H11" s="229"/>
      <c r="I11" s="229">
        <v>9979.01</v>
      </c>
      <c r="J11" s="230"/>
      <c r="K11" s="231">
        <f t="shared" si="0"/>
        <v>9979.01</v>
      </c>
      <c r="L11" s="85"/>
    </row>
    <row r="12" spans="1:12" s="86" customFormat="1" x14ac:dyDescent="0.25">
      <c r="A12" s="82">
        <v>11</v>
      </c>
      <c r="B12" s="125" t="s">
        <v>247</v>
      </c>
      <c r="C12" s="127" t="s">
        <v>432</v>
      </c>
      <c r="D12" s="228"/>
      <c r="E12" s="228"/>
      <c r="F12" s="229">
        <v>351</v>
      </c>
      <c r="G12" s="229"/>
      <c r="H12" s="229"/>
      <c r="I12" s="229">
        <v>701.66399999999999</v>
      </c>
      <c r="J12" s="230">
        <v>256.33600000000001</v>
      </c>
      <c r="K12" s="231">
        <f t="shared" si="0"/>
        <v>1309</v>
      </c>
      <c r="L12" s="85"/>
    </row>
    <row r="13" spans="1:12" s="86" customFormat="1" x14ac:dyDescent="0.25">
      <c r="A13" s="82">
        <v>12</v>
      </c>
      <c r="B13" s="125" t="s">
        <v>247</v>
      </c>
      <c r="C13" s="127" t="s">
        <v>385</v>
      </c>
      <c r="D13" s="228">
        <v>2540</v>
      </c>
      <c r="E13" s="228"/>
      <c r="F13" s="229"/>
      <c r="G13" s="229"/>
      <c r="H13" s="229">
        <v>258</v>
      </c>
      <c r="I13" s="229"/>
      <c r="J13" s="230">
        <v>12202</v>
      </c>
      <c r="K13" s="231">
        <f t="shared" si="0"/>
        <v>15000</v>
      </c>
      <c r="L13" s="85"/>
    </row>
    <row r="14" spans="1:12" ht="15.75" x14ac:dyDescent="0.25">
      <c r="A14" s="82">
        <v>13</v>
      </c>
      <c r="B14" s="67"/>
      <c r="C14" s="72" t="s">
        <v>287</v>
      </c>
      <c r="D14" s="235">
        <f t="shared" ref="D14:K14" si="1">SUM(D6:D13)</f>
        <v>4166</v>
      </c>
      <c r="E14" s="235">
        <f t="shared" si="1"/>
        <v>0</v>
      </c>
      <c r="F14" s="235">
        <f t="shared" si="1"/>
        <v>1705.9</v>
      </c>
      <c r="G14" s="235">
        <f t="shared" si="1"/>
        <v>0</v>
      </c>
      <c r="H14" s="235">
        <f t="shared" si="1"/>
        <v>258</v>
      </c>
      <c r="I14" s="235">
        <f t="shared" si="1"/>
        <v>10680.674000000001</v>
      </c>
      <c r="J14" s="235">
        <f t="shared" si="1"/>
        <v>29886.435999999998</v>
      </c>
      <c r="K14" s="235">
        <f t="shared" si="1"/>
        <v>46697.01</v>
      </c>
      <c r="L14" s="87"/>
    </row>
    <row r="15" spans="1:12" x14ac:dyDescent="0.25">
      <c r="A15" s="82">
        <v>14</v>
      </c>
      <c r="B15" s="88"/>
      <c r="C15" s="89" t="s">
        <v>271</v>
      </c>
      <c r="D15" s="236">
        <f t="shared" ref="D15:K15" si="2">SUMIF($B6:$B13,"kötelező",D6:D13)</f>
        <v>1255</v>
      </c>
      <c r="E15" s="236">
        <f t="shared" si="2"/>
        <v>0</v>
      </c>
      <c r="F15" s="236">
        <f t="shared" si="2"/>
        <v>1354.9</v>
      </c>
      <c r="G15" s="236">
        <f t="shared" si="2"/>
        <v>0</v>
      </c>
      <c r="H15" s="236">
        <f t="shared" si="2"/>
        <v>0</v>
      </c>
      <c r="I15" s="236">
        <f t="shared" si="2"/>
        <v>0</v>
      </c>
      <c r="J15" s="236">
        <f t="shared" si="2"/>
        <v>13629.1</v>
      </c>
      <c r="K15" s="236">
        <f t="shared" si="2"/>
        <v>16239</v>
      </c>
      <c r="L15" s="87"/>
    </row>
    <row r="16" spans="1:12" x14ac:dyDescent="0.25">
      <c r="A16" s="82">
        <v>15</v>
      </c>
      <c r="B16" s="88"/>
      <c r="C16" s="89" t="s">
        <v>272</v>
      </c>
      <c r="D16" s="236">
        <f t="shared" ref="D16:K16" si="3">SUMIF($B6:$B13,"nem kötelező",D6:D13)</f>
        <v>2911</v>
      </c>
      <c r="E16" s="236">
        <f t="shared" si="3"/>
        <v>0</v>
      </c>
      <c r="F16" s="236">
        <f t="shared" si="3"/>
        <v>351</v>
      </c>
      <c r="G16" s="236">
        <f t="shared" si="3"/>
        <v>0</v>
      </c>
      <c r="H16" s="236">
        <f t="shared" si="3"/>
        <v>258</v>
      </c>
      <c r="I16" s="236">
        <f t="shared" si="3"/>
        <v>10680.674000000001</v>
      </c>
      <c r="J16" s="236">
        <f t="shared" si="3"/>
        <v>16257.335999999999</v>
      </c>
      <c r="K16" s="236">
        <f t="shared" si="3"/>
        <v>30458.010000000002</v>
      </c>
      <c r="L16" s="87"/>
    </row>
    <row r="17" spans="2:11" x14ac:dyDescent="0.25">
      <c r="B17" s="90"/>
      <c r="C17" s="90"/>
      <c r="D17" s="90"/>
      <c r="E17" s="90"/>
      <c r="F17" s="90"/>
      <c r="G17" s="90"/>
      <c r="H17" s="90"/>
      <c r="I17" s="90"/>
      <c r="J17" s="90"/>
      <c r="K17" s="90"/>
    </row>
  </sheetData>
  <mergeCells count="1">
    <mergeCell ref="C3:K3"/>
  </mergeCells>
  <printOptions horizontalCentered="1"/>
  <pageMargins left="0.70866141732283472" right="0.1640625" top="0.74803149606299213" bottom="0.74803149606299213" header="0.31496062992125984" footer="0.31496062992125984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112"/>
  <sheetViews>
    <sheetView view="pageBreakPreview" zoomScaleNormal="100" zoomScaleSheetLayoutView="100" workbookViewId="0">
      <pane xSplit="3" ySplit="5" topLeftCell="D68" activePane="bottomRight" state="frozen"/>
      <selection pane="topRight" activeCell="D1" sqref="D1"/>
      <selection pane="bottomLeft" activeCell="A6" sqref="A6"/>
      <selection pane="bottomRight" activeCell="F77" sqref="F77"/>
    </sheetView>
  </sheetViews>
  <sheetFormatPr defaultRowHeight="15" x14ac:dyDescent="0.25"/>
  <cols>
    <col min="1" max="1" width="6" style="294" customWidth="1"/>
    <col min="2" max="2" width="15" style="111" customWidth="1"/>
    <col min="3" max="3" width="63.5703125" style="111" customWidth="1"/>
    <col min="4" max="4" width="12.42578125" style="111" bestFit="1" customWidth="1"/>
    <col min="5" max="5" width="13.28515625" style="111" customWidth="1"/>
    <col min="6" max="6" width="16.28515625" style="111" bestFit="1" customWidth="1"/>
    <col min="7" max="7" width="14.5703125" style="111" customWidth="1"/>
    <col min="8" max="8" width="13.5703125" style="111" customWidth="1"/>
    <col min="9" max="9" width="12.28515625" style="111" customWidth="1"/>
    <col min="10" max="11" width="13.7109375" style="111" customWidth="1"/>
    <col min="12" max="12" width="14.85546875" style="111" customWidth="1"/>
    <col min="13" max="14" width="12.28515625" style="111" customWidth="1"/>
    <col min="15" max="15" width="13" style="111" customWidth="1"/>
    <col min="16" max="16" width="14.28515625" style="111" bestFit="1" customWidth="1"/>
    <col min="17" max="17" width="17" style="111" bestFit="1" customWidth="1"/>
    <col min="18" max="18" width="16.42578125" style="111" customWidth="1"/>
    <col min="19" max="20" width="12.28515625" style="111" hidden="1" customWidth="1"/>
    <col min="21" max="21" width="10.140625" style="111" bestFit="1" customWidth="1"/>
    <col min="22" max="16384" width="9.140625" style="111"/>
  </cols>
  <sheetData>
    <row r="1" spans="1:20" x14ac:dyDescent="0.25">
      <c r="N1" s="370" t="s">
        <v>460</v>
      </c>
      <c r="O1" s="370"/>
      <c r="P1" s="370"/>
      <c r="Q1" s="370"/>
      <c r="R1" s="272"/>
    </row>
    <row r="2" spans="1:20" x14ac:dyDescent="0.25">
      <c r="A2" s="295"/>
      <c r="B2" s="107" t="s">
        <v>150</v>
      </c>
      <c r="C2" s="107" t="s">
        <v>172</v>
      </c>
      <c r="D2" s="107" t="s">
        <v>151</v>
      </c>
      <c r="E2" s="107" t="s">
        <v>152</v>
      </c>
      <c r="F2" s="107" t="s">
        <v>153</v>
      </c>
      <c r="G2" s="107" t="s">
        <v>193</v>
      </c>
      <c r="H2" s="107" t="s">
        <v>229</v>
      </c>
      <c r="I2" s="107" t="s">
        <v>230</v>
      </c>
      <c r="J2" s="107" t="s">
        <v>231</v>
      </c>
      <c r="K2" s="107"/>
      <c r="L2" s="107" t="s">
        <v>232</v>
      </c>
      <c r="M2" s="107" t="s">
        <v>306</v>
      </c>
      <c r="N2" s="107" t="s">
        <v>289</v>
      </c>
      <c r="O2" s="107" t="s">
        <v>307</v>
      </c>
      <c r="P2" s="107" t="s">
        <v>290</v>
      </c>
      <c r="Q2" s="107" t="s">
        <v>308</v>
      </c>
      <c r="R2" s="107" t="s">
        <v>291</v>
      </c>
      <c r="S2" s="141"/>
      <c r="T2" s="141"/>
    </row>
    <row r="3" spans="1:20" ht="48" customHeight="1" x14ac:dyDescent="0.25">
      <c r="A3" s="296">
        <v>1</v>
      </c>
      <c r="B3" s="107"/>
      <c r="C3" s="368" t="s">
        <v>461</v>
      </c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69"/>
      <c r="S3" s="142"/>
      <c r="T3" s="142"/>
    </row>
    <row r="4" spans="1:20" ht="72.75" customHeight="1" x14ac:dyDescent="0.25">
      <c r="A4" s="296">
        <v>2</v>
      </c>
      <c r="B4" s="143" t="s">
        <v>233</v>
      </c>
      <c r="C4" s="144" t="s">
        <v>234</v>
      </c>
      <c r="D4" s="145" t="s">
        <v>92</v>
      </c>
      <c r="E4" s="145" t="s">
        <v>309</v>
      </c>
      <c r="F4" s="145" t="s">
        <v>94</v>
      </c>
      <c r="G4" s="145" t="s">
        <v>310</v>
      </c>
      <c r="H4" s="145" t="s">
        <v>311</v>
      </c>
      <c r="I4" s="145" t="s">
        <v>312</v>
      </c>
      <c r="J4" s="145" t="s">
        <v>491</v>
      </c>
      <c r="K4" s="145" t="s">
        <v>390</v>
      </c>
      <c r="L4" s="145" t="s">
        <v>110</v>
      </c>
      <c r="M4" s="145" t="s">
        <v>113</v>
      </c>
      <c r="N4" s="145" t="s">
        <v>313</v>
      </c>
      <c r="O4" s="145" t="s">
        <v>314</v>
      </c>
      <c r="P4" s="145" t="s">
        <v>275</v>
      </c>
      <c r="Q4" s="145" t="s">
        <v>493</v>
      </c>
      <c r="R4" s="145" t="s">
        <v>315</v>
      </c>
      <c r="S4" s="146"/>
      <c r="T4" s="146"/>
    </row>
    <row r="5" spans="1:20" ht="30" x14ac:dyDescent="0.25">
      <c r="A5" s="296">
        <v>3</v>
      </c>
      <c r="B5" s="143"/>
      <c r="C5" s="144" t="s">
        <v>316</v>
      </c>
      <c r="D5" s="147" t="s">
        <v>462</v>
      </c>
      <c r="E5" s="147" t="s">
        <v>462</v>
      </c>
      <c r="F5" s="147" t="s">
        <v>462</v>
      </c>
      <c r="G5" s="147" t="s">
        <v>462</v>
      </c>
      <c r="H5" s="147" t="s">
        <v>462</v>
      </c>
      <c r="I5" s="147" t="s">
        <v>462</v>
      </c>
      <c r="J5" s="147" t="s">
        <v>462</v>
      </c>
      <c r="K5" s="147" t="s">
        <v>462</v>
      </c>
      <c r="L5" s="147" t="s">
        <v>462</v>
      </c>
      <c r="M5" s="147" t="s">
        <v>462</v>
      </c>
      <c r="N5" s="147" t="s">
        <v>462</v>
      </c>
      <c r="O5" s="147" t="s">
        <v>462</v>
      </c>
      <c r="P5" s="147" t="s">
        <v>492</v>
      </c>
      <c r="Q5" s="147">
        <f>-----------------------------------------------------------------------------------------------------------------------------------------'3.1 Önk bev.'!E708</f>
        <v>0</v>
      </c>
      <c r="R5" s="147" t="s">
        <v>462</v>
      </c>
      <c r="S5" s="147" t="s">
        <v>463</v>
      </c>
      <c r="T5" s="147" t="s">
        <v>240</v>
      </c>
    </row>
    <row r="6" spans="1:20" x14ac:dyDescent="0.25">
      <c r="A6" s="296">
        <v>4</v>
      </c>
      <c r="B6" s="107" t="s">
        <v>247</v>
      </c>
      <c r="C6" s="108" t="s">
        <v>317</v>
      </c>
      <c r="D6" s="326">
        <f>350+35</f>
        <v>385</v>
      </c>
      <c r="E6" s="326"/>
      <c r="F6" s="326">
        <v>550</v>
      </c>
      <c r="G6" s="326"/>
      <c r="H6" s="326">
        <v>100</v>
      </c>
      <c r="I6" s="326"/>
      <c r="J6" s="326"/>
      <c r="K6" s="326"/>
      <c r="L6" s="326"/>
      <c r="M6" s="326"/>
      <c r="N6" s="326"/>
      <c r="O6" s="326"/>
      <c r="P6" s="214">
        <f>O6+N6+M6+L6+J6+H6+G6+F6+E6+D6+I6</f>
        <v>1035</v>
      </c>
      <c r="Q6" s="215"/>
      <c r="R6" s="215"/>
      <c r="S6" s="110"/>
      <c r="T6" s="110">
        <v>4836</v>
      </c>
    </row>
    <row r="7" spans="1:20" x14ac:dyDescent="0.25">
      <c r="A7" s="296">
        <v>5</v>
      </c>
      <c r="B7" s="107" t="s">
        <v>241</v>
      </c>
      <c r="C7" s="108" t="s">
        <v>363</v>
      </c>
      <c r="D7" s="326">
        <v>15859.5</v>
      </c>
      <c r="E7" s="326">
        <v>3115</v>
      </c>
      <c r="F7" s="326">
        <v>1131</v>
      </c>
      <c r="G7" s="326"/>
      <c r="H7" s="326"/>
      <c r="I7" s="326"/>
      <c r="J7" s="326"/>
      <c r="K7" s="326"/>
      <c r="L7" s="326">
        <f>50-50</f>
        <v>0</v>
      </c>
      <c r="M7" s="326"/>
      <c r="N7" s="326"/>
      <c r="O7" s="326"/>
      <c r="P7" s="214">
        <f>O7+N7+M7+L7+J7+H7+G7+F7+E7+D7+I7</f>
        <v>20105.5</v>
      </c>
      <c r="Q7" s="215"/>
      <c r="R7" s="215"/>
      <c r="S7" s="110"/>
      <c r="T7" s="110"/>
    </row>
    <row r="8" spans="1:20" x14ac:dyDescent="0.25">
      <c r="A8" s="296">
        <v>7</v>
      </c>
      <c r="B8" s="107" t="s">
        <v>241</v>
      </c>
      <c r="C8" s="108" t="s">
        <v>481</v>
      </c>
      <c r="D8" s="326"/>
      <c r="E8" s="326"/>
      <c r="F8" s="326"/>
      <c r="G8" s="326"/>
      <c r="H8" s="326"/>
      <c r="I8" s="326"/>
      <c r="J8" s="326"/>
      <c r="K8" s="326"/>
      <c r="L8" s="326"/>
      <c r="M8" s="326">
        <f>5200-5200</f>
        <v>0</v>
      </c>
      <c r="N8" s="326"/>
      <c r="O8" s="326"/>
      <c r="P8" s="214">
        <f>O8+N8+M8+L8+J8+H8+G8+F8+E8+D8+I8</f>
        <v>0</v>
      </c>
      <c r="Q8" s="215"/>
      <c r="R8" s="215"/>
      <c r="S8" s="110"/>
      <c r="T8" s="110"/>
    </row>
    <row r="9" spans="1:20" x14ac:dyDescent="0.25">
      <c r="A9" s="296"/>
      <c r="B9" s="107" t="s">
        <v>247</v>
      </c>
      <c r="C9" s="108" t="s">
        <v>514</v>
      </c>
      <c r="D9" s="326"/>
      <c r="E9" s="326"/>
      <c r="F9" s="326"/>
      <c r="G9" s="326"/>
      <c r="H9" s="326"/>
      <c r="I9" s="326"/>
      <c r="J9" s="326"/>
      <c r="K9" s="326"/>
      <c r="L9" s="326">
        <f>1300-1300</f>
        <v>0</v>
      </c>
      <c r="M9" s="326"/>
      <c r="N9" s="326"/>
      <c r="O9" s="326"/>
      <c r="P9" s="214">
        <f t="shared" ref="P9:P11" si="0">O9+N9+M9+L9+J9+H9+G9+F9+E9+D9+I9</f>
        <v>0</v>
      </c>
      <c r="Q9" s="215"/>
      <c r="R9" s="215"/>
      <c r="S9" s="110"/>
      <c r="T9" s="110"/>
    </row>
    <row r="10" spans="1:20" ht="15.75" x14ac:dyDescent="0.25">
      <c r="A10" s="296"/>
      <c r="B10" s="107" t="s">
        <v>247</v>
      </c>
      <c r="C10" s="108" t="s">
        <v>515</v>
      </c>
      <c r="D10" s="326"/>
      <c r="E10" s="326"/>
      <c r="F10" s="326"/>
      <c r="G10" s="326"/>
      <c r="H10" s="326"/>
      <c r="I10" s="326"/>
      <c r="J10" s="326"/>
      <c r="K10" s="326"/>
      <c r="L10" s="326"/>
      <c r="M10" s="326">
        <f>1236-1236</f>
        <v>0</v>
      </c>
      <c r="N10" s="326"/>
      <c r="O10" s="326"/>
      <c r="P10" s="214">
        <f>O10+N10+M10+L10+J10+H10+G10+F10+E10+D10+I10</f>
        <v>0</v>
      </c>
      <c r="Q10" s="215"/>
      <c r="R10" s="215"/>
      <c r="S10" s="110"/>
      <c r="T10" s="110"/>
    </row>
    <row r="11" spans="1:20" ht="15.75" x14ac:dyDescent="0.25">
      <c r="A11" s="296"/>
      <c r="B11" s="107" t="s">
        <v>241</v>
      </c>
      <c r="C11" s="108" t="s">
        <v>516</v>
      </c>
      <c r="D11" s="326"/>
      <c r="E11" s="326"/>
      <c r="F11" s="326"/>
      <c r="G11" s="326"/>
      <c r="H11" s="326"/>
      <c r="I11" s="326"/>
      <c r="J11" s="326"/>
      <c r="K11" s="326"/>
      <c r="L11" s="326"/>
      <c r="M11" s="326">
        <f>1307-1307</f>
        <v>0</v>
      </c>
      <c r="N11" s="326"/>
      <c r="O11" s="326"/>
      <c r="P11" s="214">
        <f t="shared" si="0"/>
        <v>0</v>
      </c>
      <c r="Q11" s="215"/>
      <c r="R11" s="215"/>
      <c r="S11" s="110"/>
      <c r="T11" s="110"/>
    </row>
    <row r="12" spans="1:20" x14ac:dyDescent="0.25">
      <c r="A12" s="296">
        <v>7.6666666666666696</v>
      </c>
      <c r="B12" s="107" t="s">
        <v>241</v>
      </c>
      <c r="C12" s="108" t="s">
        <v>435</v>
      </c>
      <c r="D12" s="326"/>
      <c r="E12" s="326"/>
      <c r="F12" s="326"/>
      <c r="G12" s="326"/>
      <c r="H12" s="326"/>
      <c r="I12" s="326"/>
      <c r="J12" s="326">
        <v>1000</v>
      </c>
      <c r="K12" s="326"/>
      <c r="L12" s="326"/>
      <c r="M12" s="326"/>
      <c r="N12" s="326"/>
      <c r="O12" s="326"/>
      <c r="P12" s="214">
        <f>O12+N12+M12+L12+J12+H12+G12+F12+E12+D12+I12</f>
        <v>1000</v>
      </c>
      <c r="Q12" s="215"/>
      <c r="R12" s="215"/>
      <c r="S12" s="110"/>
      <c r="T12" s="110"/>
    </row>
    <row r="13" spans="1:20" x14ac:dyDescent="0.25">
      <c r="A13" s="296"/>
      <c r="B13" s="107" t="s">
        <v>241</v>
      </c>
      <c r="C13" s="108" t="s">
        <v>562</v>
      </c>
      <c r="D13" s="326"/>
      <c r="E13" s="326"/>
      <c r="F13" s="326"/>
      <c r="G13" s="326"/>
      <c r="H13" s="326"/>
      <c r="I13" s="326"/>
      <c r="J13" s="326"/>
      <c r="K13" s="326"/>
      <c r="L13" s="326"/>
      <c r="M13" s="326">
        <f>570+230.7</f>
        <v>800.7</v>
      </c>
      <c r="N13" s="326"/>
      <c r="O13" s="326"/>
      <c r="P13" s="214">
        <f>O13+N13+M13+L13+J13+H13+G13+F13+E13+D13+I13</f>
        <v>800.7</v>
      </c>
      <c r="Q13" s="215"/>
      <c r="R13" s="215"/>
      <c r="S13" s="110"/>
      <c r="T13" s="110"/>
    </row>
    <row r="14" spans="1:20" x14ac:dyDescent="0.25">
      <c r="A14" s="296">
        <v>8.8095238095238102</v>
      </c>
      <c r="B14" s="107" t="s">
        <v>241</v>
      </c>
      <c r="C14" s="108" t="s">
        <v>318</v>
      </c>
      <c r="D14" s="216"/>
      <c r="E14" s="216"/>
      <c r="F14" s="217">
        <v>30</v>
      </c>
      <c r="G14" s="216"/>
      <c r="H14" s="216"/>
      <c r="I14" s="216"/>
      <c r="J14" s="216"/>
      <c r="K14" s="216"/>
      <c r="L14" s="216"/>
      <c r="M14" s="216"/>
      <c r="N14" s="216"/>
      <c r="O14" s="216"/>
      <c r="P14" s="214">
        <f t="shared" ref="P14:P74" si="1">O14+N14+M14+L14+J14+H14+G14+F14+E14+D14+I14</f>
        <v>30</v>
      </c>
      <c r="Q14" s="215"/>
      <c r="R14" s="215"/>
      <c r="S14" s="110"/>
      <c r="T14" s="110">
        <v>176</v>
      </c>
    </row>
    <row r="15" spans="1:20" x14ac:dyDescent="0.25">
      <c r="A15" s="296">
        <v>9.9523809523809508</v>
      </c>
      <c r="B15" s="107" t="s">
        <v>241</v>
      </c>
      <c r="C15" s="108" t="s">
        <v>436</v>
      </c>
      <c r="D15" s="216"/>
      <c r="E15" s="216"/>
      <c r="F15" s="217">
        <v>614</v>
      </c>
      <c r="G15" s="216"/>
      <c r="H15" s="216"/>
      <c r="I15" s="216"/>
      <c r="J15" s="216"/>
      <c r="K15" s="216"/>
      <c r="L15" s="216"/>
      <c r="M15" s="218">
        <v>500</v>
      </c>
      <c r="N15" s="216"/>
      <c r="O15" s="216"/>
      <c r="P15" s="214">
        <f t="shared" si="1"/>
        <v>1114</v>
      </c>
      <c r="Q15" s="215"/>
      <c r="R15" s="215"/>
      <c r="S15" s="110"/>
      <c r="T15" s="110">
        <v>10154</v>
      </c>
    </row>
    <row r="16" spans="1:20" ht="25.5" x14ac:dyDescent="0.25">
      <c r="A16" s="296">
        <v>12.2380952380952</v>
      </c>
      <c r="B16" s="107" t="s">
        <v>241</v>
      </c>
      <c r="C16" s="237" t="s">
        <v>528</v>
      </c>
      <c r="D16" s="216"/>
      <c r="E16" s="216"/>
      <c r="F16" s="217">
        <v>9150</v>
      </c>
      <c r="G16" s="216"/>
      <c r="H16" s="216"/>
      <c r="I16" s="216"/>
      <c r="J16" s="216"/>
      <c r="K16" s="216"/>
      <c r="L16" s="216">
        <v>144.28</v>
      </c>
      <c r="M16" s="216"/>
      <c r="N16" s="216"/>
      <c r="O16" s="216"/>
      <c r="P16" s="214">
        <f t="shared" si="1"/>
        <v>9294.2800000000007</v>
      </c>
      <c r="Q16" s="215"/>
      <c r="R16" s="215"/>
      <c r="S16" s="110"/>
      <c r="T16" s="110">
        <v>9765</v>
      </c>
    </row>
    <row r="17" spans="1:20" x14ac:dyDescent="0.25">
      <c r="A17" s="296">
        <v>13.380952380952399</v>
      </c>
      <c r="B17" s="107" t="s">
        <v>247</v>
      </c>
      <c r="C17" s="108" t="s">
        <v>372</v>
      </c>
      <c r="D17" s="216"/>
      <c r="E17" s="216"/>
      <c r="F17" s="217"/>
      <c r="G17" s="216"/>
      <c r="H17" s="216"/>
      <c r="I17" s="216"/>
      <c r="J17" s="216"/>
      <c r="K17" s="216"/>
      <c r="L17" s="216"/>
      <c r="M17" s="216"/>
      <c r="N17" s="217">
        <v>3517.94</v>
      </c>
      <c r="O17" s="216"/>
      <c r="P17" s="214">
        <f t="shared" si="1"/>
        <v>3517.94</v>
      </c>
      <c r="Q17" s="215"/>
      <c r="R17" s="215"/>
      <c r="S17" s="110"/>
      <c r="T17" s="110"/>
    </row>
    <row r="18" spans="1:20" x14ac:dyDescent="0.25">
      <c r="A18" s="296"/>
      <c r="B18" s="107" t="s">
        <v>247</v>
      </c>
      <c r="C18" s="108" t="s">
        <v>497</v>
      </c>
      <c r="D18" s="216"/>
      <c r="E18" s="216"/>
      <c r="F18" s="217"/>
      <c r="G18" s="216"/>
      <c r="H18" s="216"/>
      <c r="I18" s="216"/>
      <c r="J18" s="216"/>
      <c r="K18" s="216"/>
      <c r="L18" s="216"/>
      <c r="M18" s="216"/>
      <c r="N18" s="217">
        <f>13405.082-600</f>
        <v>12805.082</v>
      </c>
      <c r="O18" s="216"/>
      <c r="P18" s="214">
        <f t="shared" si="1"/>
        <v>12805.082</v>
      </c>
      <c r="Q18" s="215"/>
      <c r="R18" s="215"/>
      <c r="S18" s="110"/>
      <c r="T18" s="110"/>
    </row>
    <row r="19" spans="1:20" x14ac:dyDescent="0.25">
      <c r="A19" s="296">
        <v>14.523809523809501</v>
      </c>
      <c r="B19" s="107" t="s">
        <v>247</v>
      </c>
      <c r="C19" s="108" t="s">
        <v>347</v>
      </c>
      <c r="D19" s="216"/>
      <c r="E19" s="216"/>
      <c r="F19" s="217"/>
      <c r="G19" s="216"/>
      <c r="H19" s="216"/>
      <c r="I19" s="216"/>
      <c r="J19" s="216"/>
      <c r="K19" s="216"/>
      <c r="L19" s="216"/>
      <c r="M19" s="216"/>
      <c r="N19" s="217">
        <f>12000-5921.992-300</f>
        <v>5778.0079999999998</v>
      </c>
      <c r="O19" s="216"/>
      <c r="P19" s="214">
        <f t="shared" si="1"/>
        <v>5778.0079999999998</v>
      </c>
      <c r="Q19" s="215"/>
      <c r="R19" s="215"/>
      <c r="S19" s="110"/>
      <c r="T19" s="110"/>
    </row>
    <row r="20" spans="1:20" x14ac:dyDescent="0.25">
      <c r="A20" s="296">
        <v>15.6666666666667</v>
      </c>
      <c r="B20" s="107" t="s">
        <v>247</v>
      </c>
      <c r="C20" s="108" t="s">
        <v>417</v>
      </c>
      <c r="D20" s="216"/>
      <c r="E20" s="216"/>
      <c r="F20" s="217"/>
      <c r="G20" s="217">
        <v>2000</v>
      </c>
      <c r="H20" s="217"/>
      <c r="I20" s="217"/>
      <c r="J20" s="216"/>
      <c r="K20" s="216"/>
      <c r="L20" s="216"/>
      <c r="M20" s="216"/>
      <c r="N20" s="216"/>
      <c r="O20" s="216"/>
      <c r="P20" s="214">
        <f t="shared" si="1"/>
        <v>2000</v>
      </c>
      <c r="Q20" s="215"/>
      <c r="R20" s="215"/>
      <c r="S20" s="110"/>
      <c r="T20" s="110">
        <v>1425</v>
      </c>
    </row>
    <row r="21" spans="1:20" x14ac:dyDescent="0.25">
      <c r="A21" s="296">
        <v>16.8095238095238</v>
      </c>
      <c r="B21" s="107" t="s">
        <v>247</v>
      </c>
      <c r="C21" s="108" t="s">
        <v>373</v>
      </c>
      <c r="D21" s="216"/>
      <c r="E21" s="216"/>
      <c r="F21" s="217"/>
      <c r="G21" s="217">
        <v>150</v>
      </c>
      <c r="H21" s="217"/>
      <c r="I21" s="217"/>
      <c r="J21" s="216"/>
      <c r="K21" s="216"/>
      <c r="L21" s="216"/>
      <c r="M21" s="216"/>
      <c r="N21" s="216"/>
      <c r="O21" s="216"/>
      <c r="P21" s="214">
        <f t="shared" si="1"/>
        <v>150</v>
      </c>
      <c r="Q21" s="215"/>
      <c r="R21" s="215"/>
      <c r="S21" s="110"/>
      <c r="T21" s="110">
        <v>96</v>
      </c>
    </row>
    <row r="22" spans="1:20" x14ac:dyDescent="0.25">
      <c r="A22" s="296">
        <v>17.952380952380899</v>
      </c>
      <c r="B22" s="107" t="s">
        <v>247</v>
      </c>
      <c r="C22" s="108" t="s">
        <v>370</v>
      </c>
      <c r="D22" s="216"/>
      <c r="E22" s="216"/>
      <c r="F22" s="217"/>
      <c r="G22" s="217"/>
      <c r="H22" s="217">
        <v>620</v>
      </c>
      <c r="I22" s="217"/>
      <c r="J22" s="216"/>
      <c r="K22" s="216"/>
      <c r="L22" s="216"/>
      <c r="M22" s="216"/>
      <c r="N22" s="216"/>
      <c r="O22" s="216"/>
      <c r="P22" s="214">
        <f t="shared" si="1"/>
        <v>620</v>
      </c>
      <c r="Q22" s="215"/>
      <c r="R22" s="215"/>
      <c r="S22" s="110"/>
      <c r="T22" s="110">
        <v>250</v>
      </c>
    </row>
    <row r="23" spans="1:20" x14ac:dyDescent="0.25">
      <c r="A23" s="296">
        <v>19.095238095238098</v>
      </c>
      <c r="B23" s="107" t="s">
        <v>247</v>
      </c>
      <c r="C23" s="108" t="s">
        <v>319</v>
      </c>
      <c r="D23" s="216"/>
      <c r="E23" s="216"/>
      <c r="F23" s="217"/>
      <c r="G23" s="217"/>
      <c r="H23" s="217">
        <v>50</v>
      </c>
      <c r="I23" s="217"/>
      <c r="J23" s="216"/>
      <c r="K23" s="216"/>
      <c r="L23" s="216"/>
      <c r="M23" s="216"/>
      <c r="N23" s="216"/>
      <c r="O23" s="216"/>
      <c r="P23" s="214">
        <f t="shared" si="1"/>
        <v>50</v>
      </c>
      <c r="Q23" s="215"/>
      <c r="R23" s="215"/>
      <c r="S23" s="110"/>
      <c r="T23" s="110">
        <v>80</v>
      </c>
    </row>
    <row r="24" spans="1:20" x14ac:dyDescent="0.25">
      <c r="A24" s="296">
        <v>20.238095238095202</v>
      </c>
      <c r="B24" s="107" t="s">
        <v>241</v>
      </c>
      <c r="C24" s="108" t="s">
        <v>496</v>
      </c>
      <c r="D24" s="216"/>
      <c r="E24" s="216"/>
      <c r="F24" s="217"/>
      <c r="G24" s="217">
        <v>1000</v>
      </c>
      <c r="H24" s="217"/>
      <c r="I24" s="217"/>
      <c r="J24" s="216"/>
      <c r="K24" s="216"/>
      <c r="L24" s="216"/>
      <c r="M24" s="216"/>
      <c r="N24" s="216"/>
      <c r="O24" s="216"/>
      <c r="P24" s="214">
        <f t="shared" si="1"/>
        <v>1000</v>
      </c>
      <c r="Q24" s="215"/>
      <c r="R24" s="215"/>
      <c r="S24" s="110"/>
      <c r="T24" s="110">
        <v>146</v>
      </c>
    </row>
    <row r="25" spans="1:20" x14ac:dyDescent="0.25">
      <c r="A25" s="296">
        <v>21.380952380952401</v>
      </c>
      <c r="B25" s="107" t="s">
        <v>241</v>
      </c>
      <c r="C25" s="108" t="s">
        <v>418</v>
      </c>
      <c r="D25" s="216"/>
      <c r="E25" s="216"/>
      <c r="F25" s="217"/>
      <c r="G25" s="217">
        <v>300</v>
      </c>
      <c r="H25" s="217"/>
      <c r="I25" s="217"/>
      <c r="J25" s="216"/>
      <c r="K25" s="216"/>
      <c r="L25" s="216"/>
      <c r="M25" s="216"/>
      <c r="N25" s="216"/>
      <c r="O25" s="216"/>
      <c r="P25" s="214">
        <f t="shared" si="1"/>
        <v>300</v>
      </c>
      <c r="Q25" s="215"/>
      <c r="R25" s="215"/>
      <c r="S25" s="110"/>
      <c r="T25" s="110">
        <v>132</v>
      </c>
    </row>
    <row r="26" spans="1:20" x14ac:dyDescent="0.25">
      <c r="A26" s="296">
        <v>22.523809523809501</v>
      </c>
      <c r="B26" s="107" t="s">
        <v>241</v>
      </c>
      <c r="C26" s="108" t="s">
        <v>419</v>
      </c>
      <c r="D26" s="216"/>
      <c r="E26" s="216"/>
      <c r="F26" s="217"/>
      <c r="G26" s="217">
        <v>300</v>
      </c>
      <c r="H26" s="216"/>
      <c r="I26" s="216"/>
      <c r="J26" s="216"/>
      <c r="K26" s="216"/>
      <c r="L26" s="216"/>
      <c r="M26" s="288"/>
      <c r="N26" s="214"/>
      <c r="O26" s="219"/>
      <c r="P26" s="214">
        <f>O26+N26+M26+L26+J26+H26+G26+F26+E26+D26+I26</f>
        <v>300</v>
      </c>
      <c r="Q26" s="219"/>
      <c r="R26" s="219"/>
      <c r="S26" s="148"/>
      <c r="T26" s="289">
        <v>10579</v>
      </c>
    </row>
    <row r="27" spans="1:20" x14ac:dyDescent="0.25">
      <c r="A27" s="296">
        <v>23.6666666666667</v>
      </c>
      <c r="B27" s="107" t="s">
        <v>241</v>
      </c>
      <c r="C27" s="108" t="s">
        <v>320</v>
      </c>
      <c r="D27" s="216"/>
      <c r="E27" s="216"/>
      <c r="F27" s="217"/>
      <c r="G27" s="217">
        <v>400</v>
      </c>
      <c r="H27" s="216"/>
      <c r="I27" s="216"/>
      <c r="J27" s="216"/>
      <c r="K27" s="216"/>
      <c r="L27" s="216"/>
      <c r="M27" s="288"/>
      <c r="N27" s="214"/>
      <c r="O27" s="219"/>
      <c r="P27" s="214">
        <f>O27+N27+M27+L27+J27+H27+G27+F27+E27+D27+I27</f>
        <v>400</v>
      </c>
      <c r="Q27" s="219"/>
      <c r="R27" s="219"/>
      <c r="S27" s="148"/>
      <c r="T27" s="289"/>
    </row>
    <row r="28" spans="1:20" x14ac:dyDescent="0.25">
      <c r="A28" s="296">
        <v>24.8095238095238</v>
      </c>
      <c r="B28" s="107" t="s">
        <v>247</v>
      </c>
      <c r="C28" s="108" t="s">
        <v>420</v>
      </c>
      <c r="D28" s="216"/>
      <c r="E28" s="216"/>
      <c r="F28" s="217"/>
      <c r="G28" s="217">
        <v>150</v>
      </c>
      <c r="H28" s="216"/>
      <c r="I28" s="216"/>
      <c r="J28" s="216"/>
      <c r="K28" s="216"/>
      <c r="L28" s="216"/>
      <c r="M28" s="288"/>
      <c r="N28" s="214"/>
      <c r="O28" s="219"/>
      <c r="P28" s="214">
        <f>O28+N28+M28+L28+J28+H28+G28+F28+E28+D28+I28</f>
        <v>150</v>
      </c>
      <c r="Q28" s="219"/>
      <c r="R28" s="219"/>
      <c r="S28" s="148"/>
      <c r="T28" s="289"/>
    </row>
    <row r="29" spans="1:20" x14ac:dyDescent="0.25">
      <c r="A29" s="296">
        <v>25.952380952380899</v>
      </c>
      <c r="B29" s="107" t="s">
        <v>247</v>
      </c>
      <c r="C29" s="108" t="s">
        <v>421</v>
      </c>
      <c r="D29" s="216"/>
      <c r="E29" s="216"/>
      <c r="F29" s="217">
        <v>3240.011</v>
      </c>
      <c r="G29" s="217">
        <v>1000</v>
      </c>
      <c r="H29" s="216"/>
      <c r="I29" s="216"/>
      <c r="J29" s="216"/>
      <c r="K29" s="216"/>
      <c r="L29" s="216"/>
      <c r="M29" s="288"/>
      <c r="N29" s="214"/>
      <c r="O29" s="219"/>
      <c r="P29" s="214">
        <f>O29+N29+M29+L29+J29+H29+G29+F29+E29+D29+I29</f>
        <v>4240.0110000000004</v>
      </c>
      <c r="Q29" s="219"/>
      <c r="R29" s="219"/>
      <c r="S29" s="148"/>
      <c r="T29" s="289"/>
    </row>
    <row r="30" spans="1:20" x14ac:dyDescent="0.25">
      <c r="A30" s="296">
        <v>27.095238095238098</v>
      </c>
      <c r="B30" s="107" t="s">
        <v>247</v>
      </c>
      <c r="C30" s="108" t="s">
        <v>321</v>
      </c>
      <c r="D30" s="216"/>
      <c r="E30" s="216"/>
      <c r="F30" s="217"/>
      <c r="G30" s="216"/>
      <c r="H30" s="216">
        <v>4000</v>
      </c>
      <c r="I30" s="216"/>
      <c r="J30" s="217"/>
      <c r="K30" s="217"/>
      <c r="L30" s="216"/>
      <c r="M30" s="216"/>
      <c r="N30" s="216"/>
      <c r="O30" s="216"/>
      <c r="P30" s="214">
        <f t="shared" si="1"/>
        <v>4000</v>
      </c>
      <c r="Q30" s="215"/>
      <c r="R30" s="215"/>
      <c r="S30" s="110"/>
      <c r="T30" s="110">
        <v>2140</v>
      </c>
    </row>
    <row r="31" spans="1:20" x14ac:dyDescent="0.25">
      <c r="A31" s="296">
        <v>28.238095238095202</v>
      </c>
      <c r="B31" s="107" t="s">
        <v>241</v>
      </c>
      <c r="C31" s="108" t="s">
        <v>432</v>
      </c>
      <c r="D31" s="220">
        <v>7318.3360000000002</v>
      </c>
      <c r="E31" s="220">
        <v>713.53399999999999</v>
      </c>
      <c r="F31" s="218"/>
      <c r="G31" s="220"/>
      <c r="H31" s="220"/>
      <c r="I31" s="220"/>
      <c r="J31" s="218"/>
      <c r="K31" s="218"/>
      <c r="L31" s="220"/>
      <c r="M31" s="216"/>
      <c r="N31" s="216"/>
      <c r="O31" s="216"/>
      <c r="P31" s="214">
        <f t="shared" si="1"/>
        <v>8031.87</v>
      </c>
      <c r="Q31" s="215"/>
      <c r="R31" s="215"/>
      <c r="S31" s="110">
        <v>8595</v>
      </c>
      <c r="T31" s="110">
        <v>9949</v>
      </c>
    </row>
    <row r="32" spans="1:20" x14ac:dyDescent="0.25">
      <c r="A32" s="296">
        <v>29.380952380952401</v>
      </c>
      <c r="B32" s="107" t="s">
        <v>241</v>
      </c>
      <c r="C32" s="108" t="s">
        <v>322</v>
      </c>
      <c r="D32" s="218">
        <f>60128.35+2250</f>
        <v>62378.35</v>
      </c>
      <c r="E32" s="218">
        <f>6151.444+438.75</f>
        <v>6590.1940000000004</v>
      </c>
      <c r="F32" s="218">
        <f>20937.272</f>
        <v>20937.272000000001</v>
      </c>
      <c r="G32" s="220"/>
      <c r="H32" s="220"/>
      <c r="I32" s="220"/>
      <c r="J32" s="218"/>
      <c r="K32" s="218"/>
      <c r="L32" s="220">
        <v>2000</v>
      </c>
      <c r="M32" s="216"/>
      <c r="N32" s="216"/>
      <c r="O32" s="216"/>
      <c r="P32" s="214">
        <f t="shared" si="1"/>
        <v>91905.815999999992</v>
      </c>
      <c r="Q32" s="215"/>
      <c r="R32" s="215"/>
      <c r="S32" s="110">
        <v>120201</v>
      </c>
      <c r="T32" s="110">
        <v>69860</v>
      </c>
    </row>
    <row r="33" spans="1:21" x14ac:dyDescent="0.25">
      <c r="A33" s="296">
        <v>30.523809523809501</v>
      </c>
      <c r="B33" s="107" t="s">
        <v>241</v>
      </c>
      <c r="C33" s="108" t="s">
        <v>369</v>
      </c>
      <c r="D33" s="220"/>
      <c r="E33" s="220"/>
      <c r="F33" s="218"/>
      <c r="G33" s="220"/>
      <c r="H33" s="220"/>
      <c r="I33" s="220"/>
      <c r="J33" s="220"/>
      <c r="K33" s="220"/>
      <c r="L33" s="220"/>
      <c r="M33" s="216"/>
      <c r="N33" s="216"/>
      <c r="O33" s="216">
        <v>10031.323</v>
      </c>
      <c r="P33" s="214">
        <f t="shared" si="1"/>
        <v>10031.323</v>
      </c>
      <c r="Q33" s="215"/>
      <c r="R33" s="215"/>
      <c r="S33" s="110"/>
      <c r="T33" s="110"/>
    </row>
    <row r="34" spans="1:21" x14ac:dyDescent="0.25">
      <c r="A34" s="296">
        <v>31.6666666666667</v>
      </c>
      <c r="B34" s="107" t="s">
        <v>241</v>
      </c>
      <c r="C34" s="108" t="s">
        <v>323</v>
      </c>
      <c r="D34" s="220">
        <f>2532.5</f>
        <v>2532.5</v>
      </c>
      <c r="E34" s="220">
        <f>451.7</f>
        <v>451.7</v>
      </c>
      <c r="F34" s="218">
        <f>15400+360</f>
        <v>15760</v>
      </c>
      <c r="G34" s="220"/>
      <c r="H34" s="220"/>
      <c r="I34" s="220"/>
      <c r="J34" s="220"/>
      <c r="K34" s="220"/>
      <c r="L34" s="220">
        <f>200-200</f>
        <v>0</v>
      </c>
      <c r="M34" s="216"/>
      <c r="N34" s="216"/>
      <c r="O34" s="216"/>
      <c r="P34" s="214">
        <f t="shared" si="1"/>
        <v>18744.2</v>
      </c>
      <c r="Q34" s="215"/>
      <c r="R34" s="215"/>
      <c r="S34" s="110"/>
      <c r="T34" s="110">
        <v>29133</v>
      </c>
    </row>
    <row r="35" spans="1:21" x14ac:dyDescent="0.25">
      <c r="A35" s="296">
        <v>32.809523809523803</v>
      </c>
      <c r="B35" s="107" t="s">
        <v>241</v>
      </c>
      <c r="C35" s="108" t="s">
        <v>495</v>
      </c>
      <c r="D35" s="220"/>
      <c r="E35" s="220"/>
      <c r="F35" s="218">
        <f>1030+121</f>
        <v>1151</v>
      </c>
      <c r="G35" s="220"/>
      <c r="H35" s="220"/>
      <c r="I35" s="220"/>
      <c r="J35" s="220"/>
      <c r="K35" s="220"/>
      <c r="L35" s="220"/>
      <c r="M35" s="216"/>
      <c r="N35" s="216"/>
      <c r="O35" s="216">
        <v>5320</v>
      </c>
      <c r="P35" s="214">
        <f t="shared" si="1"/>
        <v>6471</v>
      </c>
      <c r="Q35" s="215"/>
      <c r="R35" s="215"/>
      <c r="S35" s="110"/>
      <c r="T35" s="110"/>
    </row>
    <row r="36" spans="1:21" x14ac:dyDescent="0.25">
      <c r="A36" s="296">
        <v>33.952380952380899</v>
      </c>
      <c r="B36" s="107" t="s">
        <v>241</v>
      </c>
      <c r="C36" s="108" t="s">
        <v>324</v>
      </c>
      <c r="D36" s="220"/>
      <c r="E36" s="220"/>
      <c r="F36" s="218">
        <v>1680</v>
      </c>
      <c r="G36" s="220"/>
      <c r="H36" s="220"/>
      <c r="I36" s="220"/>
      <c r="J36" s="220"/>
      <c r="K36" s="220"/>
      <c r="L36" s="220"/>
      <c r="M36" s="216"/>
      <c r="N36" s="216"/>
      <c r="O36" s="216"/>
      <c r="P36" s="214">
        <f t="shared" si="1"/>
        <v>1680</v>
      </c>
      <c r="Q36" s="215"/>
      <c r="R36" s="215"/>
      <c r="S36" s="110"/>
      <c r="T36" s="110"/>
    </row>
    <row r="37" spans="1:21" x14ac:dyDescent="0.25">
      <c r="A37" s="296">
        <v>35.095238095238102</v>
      </c>
      <c r="B37" s="107" t="s">
        <v>241</v>
      </c>
      <c r="C37" s="108" t="s">
        <v>348</v>
      </c>
      <c r="D37" s="220"/>
      <c r="E37" s="220"/>
      <c r="F37" s="218">
        <v>100</v>
      </c>
      <c r="G37" s="220"/>
      <c r="H37" s="220"/>
      <c r="I37" s="220"/>
      <c r="J37" s="220"/>
      <c r="K37" s="220"/>
      <c r="L37" s="220"/>
      <c r="M37" s="216"/>
      <c r="N37" s="216"/>
      <c r="O37" s="216"/>
      <c r="P37" s="214">
        <f t="shared" si="1"/>
        <v>100</v>
      </c>
      <c r="Q37" s="215"/>
      <c r="R37" s="215"/>
      <c r="S37" s="110"/>
      <c r="T37" s="110">
        <v>3</v>
      </c>
    </row>
    <row r="38" spans="1:21" x14ac:dyDescent="0.25">
      <c r="A38" s="296">
        <v>38.523809523809497</v>
      </c>
      <c r="B38" s="107" t="s">
        <v>241</v>
      </c>
      <c r="C38" s="108" t="s">
        <v>364</v>
      </c>
      <c r="D38" s="220"/>
      <c r="E38" s="220"/>
      <c r="F38" s="218">
        <v>36</v>
      </c>
      <c r="G38" s="220"/>
      <c r="H38" s="220">
        <v>16100</v>
      </c>
      <c r="I38" s="220"/>
      <c r="J38" s="220"/>
      <c r="K38" s="220"/>
      <c r="L38" s="220"/>
      <c r="M38" s="216"/>
      <c r="N38" s="216"/>
      <c r="O38" s="216"/>
      <c r="P38" s="214">
        <f t="shared" si="1"/>
        <v>16136</v>
      </c>
      <c r="Q38" s="215"/>
      <c r="R38" s="215"/>
      <c r="S38" s="110"/>
      <c r="T38" s="110">
        <v>12020</v>
      </c>
      <c r="U38" s="111">
        <f>SUM(U25:U37)</f>
        <v>0</v>
      </c>
    </row>
    <row r="39" spans="1:21" x14ac:dyDescent="0.25">
      <c r="A39" s="296">
        <v>39.6666666666667</v>
      </c>
      <c r="B39" s="107" t="s">
        <v>241</v>
      </c>
      <c r="C39" s="108" t="s">
        <v>325</v>
      </c>
      <c r="D39" s="220"/>
      <c r="E39" s="220"/>
      <c r="F39" s="218">
        <v>13488.3</v>
      </c>
      <c r="G39" s="220"/>
      <c r="H39" s="220"/>
      <c r="I39" s="220"/>
      <c r="J39" s="220"/>
      <c r="K39" s="220"/>
      <c r="L39" s="220"/>
      <c r="M39" s="216"/>
      <c r="N39" s="216"/>
      <c r="O39" s="216"/>
      <c r="P39" s="214">
        <f t="shared" si="1"/>
        <v>13488.3</v>
      </c>
      <c r="Q39" s="215"/>
      <c r="R39" s="215"/>
      <c r="S39" s="110"/>
      <c r="T39" s="110">
        <v>13436</v>
      </c>
    </row>
    <row r="40" spans="1:21" x14ac:dyDescent="0.25">
      <c r="A40" s="296">
        <v>40.809523809523803</v>
      </c>
      <c r="B40" s="107" t="s">
        <v>241</v>
      </c>
      <c r="C40" s="108" t="s">
        <v>326</v>
      </c>
      <c r="D40" s="220"/>
      <c r="E40" s="220"/>
      <c r="F40" s="218">
        <v>31071.200000000001</v>
      </c>
      <c r="G40" s="220"/>
      <c r="H40" s="220"/>
      <c r="I40" s="220"/>
      <c r="J40" s="220"/>
      <c r="K40" s="220"/>
      <c r="L40" s="220"/>
      <c r="M40" s="216"/>
      <c r="N40" s="216"/>
      <c r="O40" s="216"/>
      <c r="P40" s="214">
        <f t="shared" si="1"/>
        <v>31071.200000000001</v>
      </c>
      <c r="Q40" s="215"/>
      <c r="R40" s="215"/>
      <c r="S40" s="110"/>
      <c r="T40" s="110">
        <v>42409</v>
      </c>
    </row>
    <row r="41" spans="1:21" x14ac:dyDescent="0.25">
      <c r="A41" s="296">
        <v>41.952380952380899</v>
      </c>
      <c r="B41" s="107" t="s">
        <v>241</v>
      </c>
      <c r="C41" s="108" t="s">
        <v>490</v>
      </c>
      <c r="D41" s="220"/>
      <c r="E41" s="220"/>
      <c r="F41" s="218">
        <v>20</v>
      </c>
      <c r="G41" s="220"/>
      <c r="H41" s="220"/>
      <c r="I41" s="220"/>
      <c r="J41" s="220"/>
      <c r="K41" s="220"/>
      <c r="L41" s="220"/>
      <c r="M41" s="216"/>
      <c r="N41" s="216"/>
      <c r="O41" s="216"/>
      <c r="P41" s="214">
        <f t="shared" si="1"/>
        <v>20</v>
      </c>
      <c r="Q41" s="215"/>
      <c r="R41" s="215"/>
      <c r="S41" s="110"/>
      <c r="T41" s="110"/>
    </row>
    <row r="42" spans="1:21" x14ac:dyDescent="0.25">
      <c r="A42" s="296">
        <v>43.095238095238102</v>
      </c>
      <c r="B42" s="107" t="s">
        <v>241</v>
      </c>
      <c r="C42" s="108" t="s">
        <v>414</v>
      </c>
      <c r="D42" s="220"/>
      <c r="E42" s="220"/>
      <c r="F42" s="218"/>
      <c r="G42" s="220"/>
      <c r="H42" s="220"/>
      <c r="I42" s="220"/>
      <c r="J42" s="220"/>
      <c r="K42" s="220"/>
      <c r="L42" s="220">
        <v>337.5</v>
      </c>
      <c r="M42" s="216"/>
      <c r="N42" s="216"/>
      <c r="O42" s="216"/>
      <c r="P42" s="214">
        <f t="shared" si="1"/>
        <v>337.5</v>
      </c>
      <c r="Q42" s="215"/>
      <c r="R42" s="215"/>
      <c r="S42" s="110"/>
      <c r="T42" s="110"/>
    </row>
    <row r="43" spans="1:21" x14ac:dyDescent="0.25">
      <c r="A43" s="296">
        <v>44.238095238095198</v>
      </c>
      <c r="B43" s="107" t="s">
        <v>241</v>
      </c>
      <c r="C43" s="237" t="s">
        <v>367</v>
      </c>
      <c r="D43" s="220"/>
      <c r="E43" s="220"/>
      <c r="F43" s="218">
        <v>1128</v>
      </c>
      <c r="G43" s="220"/>
      <c r="H43" s="220"/>
      <c r="I43" s="220">
        <v>2903</v>
      </c>
      <c r="J43" s="220"/>
      <c r="K43" s="220"/>
      <c r="L43" s="220"/>
      <c r="M43" s="216"/>
      <c r="N43" s="216"/>
      <c r="O43" s="216"/>
      <c r="P43" s="214">
        <f t="shared" si="1"/>
        <v>4031</v>
      </c>
      <c r="Q43" s="215"/>
      <c r="R43" s="215"/>
      <c r="S43" s="110"/>
      <c r="T43" s="110">
        <v>706</v>
      </c>
    </row>
    <row r="44" spans="1:21" x14ac:dyDescent="0.25">
      <c r="A44" s="296">
        <v>45.380952380952401</v>
      </c>
      <c r="B44" s="107" t="s">
        <v>247</v>
      </c>
      <c r="C44" s="108" t="s">
        <v>366</v>
      </c>
      <c r="D44" s="220"/>
      <c r="E44" s="220"/>
      <c r="F44" s="218">
        <v>692</v>
      </c>
      <c r="G44" s="220"/>
      <c r="H44" s="220"/>
      <c r="I44" s="220"/>
      <c r="J44" s="220"/>
      <c r="K44" s="220"/>
      <c r="L44" s="220"/>
      <c r="M44" s="216"/>
      <c r="N44" s="216"/>
      <c r="O44" s="216"/>
      <c r="P44" s="214">
        <f t="shared" si="1"/>
        <v>692</v>
      </c>
      <c r="Q44" s="215"/>
      <c r="R44" s="215"/>
      <c r="S44" s="110"/>
      <c r="T44" s="110">
        <v>1171</v>
      </c>
    </row>
    <row r="45" spans="1:21" x14ac:dyDescent="0.25">
      <c r="A45" s="296">
        <v>46.523809523809497</v>
      </c>
      <c r="B45" s="107" t="s">
        <v>241</v>
      </c>
      <c r="C45" s="108" t="s">
        <v>365</v>
      </c>
      <c r="D45" s="220"/>
      <c r="E45" s="220"/>
      <c r="F45" s="218">
        <v>410</v>
      </c>
      <c r="G45" s="220"/>
      <c r="H45" s="220"/>
      <c r="I45" s="220"/>
      <c r="J45" s="220"/>
      <c r="K45" s="220"/>
      <c r="L45" s="220"/>
      <c r="M45" s="216"/>
      <c r="N45" s="216"/>
      <c r="O45" s="216"/>
      <c r="P45" s="214">
        <f t="shared" si="1"/>
        <v>410</v>
      </c>
      <c r="Q45" s="215"/>
      <c r="R45" s="215"/>
      <c r="S45" s="110"/>
      <c r="T45" s="110">
        <v>1551</v>
      </c>
    </row>
    <row r="46" spans="1:21" x14ac:dyDescent="0.25">
      <c r="A46" s="296">
        <v>47.6666666666667</v>
      </c>
      <c r="B46" s="107" t="s">
        <v>241</v>
      </c>
      <c r="C46" s="108" t="s">
        <v>349</v>
      </c>
      <c r="D46" s="220"/>
      <c r="E46" s="220"/>
      <c r="F46" s="218">
        <v>358</v>
      </c>
      <c r="G46" s="220"/>
      <c r="H46" s="220"/>
      <c r="I46" s="220"/>
      <c r="J46" s="220"/>
      <c r="K46" s="220"/>
      <c r="L46" s="220"/>
      <c r="M46" s="216"/>
      <c r="N46" s="216"/>
      <c r="O46" s="216"/>
      <c r="P46" s="214">
        <f t="shared" si="1"/>
        <v>358</v>
      </c>
      <c r="Q46" s="215"/>
      <c r="R46" s="215"/>
      <c r="S46" s="110"/>
      <c r="T46" s="110">
        <v>4552</v>
      </c>
    </row>
    <row r="47" spans="1:21" x14ac:dyDescent="0.25">
      <c r="A47" s="296">
        <v>48.809523809523803</v>
      </c>
      <c r="B47" s="107" t="s">
        <v>241</v>
      </c>
      <c r="C47" s="108" t="s">
        <v>415</v>
      </c>
      <c r="D47" s="220"/>
      <c r="E47" s="220"/>
      <c r="F47" s="218">
        <v>635</v>
      </c>
      <c r="G47" s="220"/>
      <c r="H47" s="220"/>
      <c r="I47" s="220"/>
      <c r="J47" s="220"/>
      <c r="K47" s="220"/>
      <c r="L47" s="220"/>
      <c r="M47" s="216"/>
      <c r="N47" s="216"/>
      <c r="O47" s="216"/>
      <c r="P47" s="214">
        <f t="shared" si="1"/>
        <v>635</v>
      </c>
      <c r="Q47" s="215"/>
      <c r="R47" s="215"/>
      <c r="S47" s="110"/>
      <c r="T47" s="110"/>
    </row>
    <row r="48" spans="1:21" x14ac:dyDescent="0.25">
      <c r="A48" s="296">
        <v>49.952380952380899</v>
      </c>
      <c r="B48" s="107" t="s">
        <v>241</v>
      </c>
      <c r="C48" s="108" t="s">
        <v>416</v>
      </c>
      <c r="D48" s="220"/>
      <c r="E48" s="220"/>
      <c r="F48" s="218"/>
      <c r="G48" s="220"/>
      <c r="H48" s="220">
        <v>8.1</v>
      </c>
      <c r="I48" s="220"/>
      <c r="J48" s="220"/>
      <c r="K48" s="220"/>
      <c r="L48" s="220"/>
      <c r="M48" s="216"/>
      <c r="N48" s="216"/>
      <c r="O48" s="216"/>
      <c r="P48" s="214">
        <f t="shared" si="1"/>
        <v>8.1</v>
      </c>
      <c r="Q48" s="215"/>
      <c r="R48" s="215"/>
      <c r="S48" s="110"/>
      <c r="T48" s="110"/>
    </row>
    <row r="49" spans="1:20" x14ac:dyDescent="0.25">
      <c r="A49" s="296">
        <v>51.095238095238102</v>
      </c>
      <c r="B49" s="107" t="s">
        <v>247</v>
      </c>
      <c r="C49" s="108" t="s">
        <v>508</v>
      </c>
      <c r="D49" s="220"/>
      <c r="E49" s="220"/>
      <c r="F49" s="218">
        <f>7500-1900</f>
        <v>5600</v>
      </c>
      <c r="G49" s="220"/>
      <c r="H49" s="220"/>
      <c r="I49" s="220"/>
      <c r="J49" s="220"/>
      <c r="K49" s="220"/>
      <c r="L49" s="220"/>
      <c r="M49" s="216"/>
      <c r="N49" s="216"/>
      <c r="O49" s="216"/>
      <c r="P49" s="214">
        <f t="shared" si="1"/>
        <v>5600</v>
      </c>
      <c r="Q49" s="215"/>
      <c r="R49" s="215"/>
      <c r="S49" s="110"/>
      <c r="T49" s="110"/>
    </row>
    <row r="50" spans="1:20" x14ac:dyDescent="0.25">
      <c r="A50" s="296">
        <v>52.238095238095198</v>
      </c>
      <c r="B50" s="107" t="s">
        <v>241</v>
      </c>
      <c r="C50" s="108" t="s">
        <v>371</v>
      </c>
      <c r="D50" s="220"/>
      <c r="E50" s="220"/>
      <c r="F50" s="218">
        <v>165</v>
      </c>
      <c r="G50" s="220"/>
      <c r="H50" s="220"/>
      <c r="I50" s="220"/>
      <c r="J50" s="220"/>
      <c r="K50" s="220"/>
      <c r="L50" s="220"/>
      <c r="M50" s="216"/>
      <c r="N50" s="216"/>
      <c r="O50" s="216"/>
      <c r="P50" s="214">
        <f t="shared" si="1"/>
        <v>165</v>
      </c>
      <c r="Q50" s="215"/>
      <c r="R50" s="215"/>
      <c r="S50" s="110"/>
      <c r="T50" s="110"/>
    </row>
    <row r="51" spans="1:20" x14ac:dyDescent="0.25">
      <c r="A51" s="296">
        <v>53.380952380952401</v>
      </c>
      <c r="B51" s="107" t="s">
        <v>247</v>
      </c>
      <c r="C51" s="108" t="s">
        <v>422</v>
      </c>
      <c r="D51" s="220"/>
      <c r="E51" s="220"/>
      <c r="F51" s="218">
        <v>100</v>
      </c>
      <c r="G51" s="220"/>
      <c r="H51" s="220"/>
      <c r="I51" s="220"/>
      <c r="J51" s="220"/>
      <c r="K51" s="220"/>
      <c r="L51" s="220"/>
      <c r="M51" s="216"/>
      <c r="N51" s="216"/>
      <c r="O51" s="216"/>
      <c r="P51" s="214">
        <f t="shared" si="1"/>
        <v>100</v>
      </c>
      <c r="Q51" s="215"/>
      <c r="R51" s="215"/>
      <c r="S51" s="110"/>
      <c r="T51" s="110"/>
    </row>
    <row r="52" spans="1:20" x14ac:dyDescent="0.25">
      <c r="A52" s="296">
        <v>54.523809523809902</v>
      </c>
      <c r="B52" s="107" t="s">
        <v>247</v>
      </c>
      <c r="C52" s="108" t="s">
        <v>430</v>
      </c>
      <c r="D52" s="220"/>
      <c r="E52" s="220"/>
      <c r="F52" s="218"/>
      <c r="G52" s="220"/>
      <c r="H52" s="220">
        <v>956</v>
      </c>
      <c r="I52" s="220"/>
      <c r="J52" s="220"/>
      <c r="K52" s="220"/>
      <c r="L52" s="220"/>
      <c r="M52" s="216"/>
      <c r="N52" s="216"/>
      <c r="O52" s="216"/>
      <c r="P52" s="214">
        <f t="shared" si="1"/>
        <v>956</v>
      </c>
      <c r="Q52" s="215"/>
      <c r="R52" s="215"/>
      <c r="S52" s="110"/>
      <c r="T52" s="110"/>
    </row>
    <row r="53" spans="1:20" x14ac:dyDescent="0.25">
      <c r="A53" s="296">
        <v>55.666666666667098</v>
      </c>
      <c r="B53" s="107" t="s">
        <v>247</v>
      </c>
      <c r="C53" s="108" t="s">
        <v>423</v>
      </c>
      <c r="D53" s="220"/>
      <c r="E53" s="220"/>
      <c r="F53" s="218">
        <f>1000-1000</f>
        <v>0</v>
      </c>
      <c r="G53" s="220"/>
      <c r="H53" s="220"/>
      <c r="I53" s="220"/>
      <c r="J53" s="220"/>
      <c r="K53" s="220"/>
      <c r="L53" s="220"/>
      <c r="M53" s="216"/>
      <c r="N53" s="216"/>
      <c r="O53" s="216"/>
      <c r="P53" s="214">
        <f t="shared" si="1"/>
        <v>0</v>
      </c>
      <c r="Q53" s="215"/>
      <c r="R53" s="215"/>
      <c r="S53" s="110"/>
      <c r="T53" s="110"/>
    </row>
    <row r="54" spans="1:20" x14ac:dyDescent="0.25">
      <c r="A54" s="296"/>
      <c r="B54" s="107" t="s">
        <v>241</v>
      </c>
      <c r="C54" s="108" t="s">
        <v>552</v>
      </c>
      <c r="D54" s="220"/>
      <c r="E54" s="220"/>
      <c r="F54" s="218"/>
      <c r="G54" s="220"/>
      <c r="H54" s="220"/>
      <c r="I54" s="220"/>
      <c r="J54" s="220"/>
      <c r="K54" s="220"/>
      <c r="L54" s="220">
        <v>600</v>
      </c>
      <c r="M54" s="216"/>
      <c r="N54" s="216"/>
      <c r="O54" s="216"/>
      <c r="P54" s="214">
        <f t="shared" si="1"/>
        <v>600</v>
      </c>
      <c r="Q54" s="215"/>
      <c r="R54" s="215"/>
      <c r="S54" s="110"/>
      <c r="T54" s="110"/>
    </row>
    <row r="55" spans="1:20" x14ac:dyDescent="0.25">
      <c r="A55" s="296"/>
      <c r="B55" s="107" t="s">
        <v>247</v>
      </c>
      <c r="C55" s="108" t="s">
        <v>529</v>
      </c>
      <c r="D55" s="220"/>
      <c r="E55" s="220"/>
      <c r="F55" s="218">
        <v>460.35</v>
      </c>
      <c r="G55" s="220"/>
      <c r="H55" s="220"/>
      <c r="I55" s="220"/>
      <c r="J55" s="220"/>
      <c r="K55" s="220"/>
      <c r="L55" s="220">
        <v>15345</v>
      </c>
      <c r="M55" s="216"/>
      <c r="N55" s="216"/>
      <c r="O55" s="216"/>
      <c r="P55" s="214">
        <f t="shared" si="1"/>
        <v>15805.35</v>
      </c>
      <c r="Q55" s="215"/>
      <c r="R55" s="215"/>
      <c r="S55" s="110"/>
      <c r="T55" s="110"/>
    </row>
    <row r="56" spans="1:20" x14ac:dyDescent="0.25">
      <c r="A56" s="296"/>
      <c r="B56" s="107" t="s">
        <v>247</v>
      </c>
      <c r="C56" s="108" t="s">
        <v>486</v>
      </c>
      <c r="D56" s="220"/>
      <c r="E56" s="220"/>
      <c r="F56" s="218">
        <v>929.65</v>
      </c>
      <c r="G56" s="220"/>
      <c r="H56" s="220"/>
      <c r="I56" s="220"/>
      <c r="J56" s="220"/>
      <c r="K56" s="220"/>
      <c r="L56" s="220">
        <f>100477.779-23859</f>
        <v>76618.778999999995</v>
      </c>
      <c r="M56" s="216">
        <v>23859</v>
      </c>
      <c r="N56" s="216"/>
      <c r="O56" s="216"/>
      <c r="P56" s="214">
        <f t="shared" si="1"/>
        <v>101407.42899999999</v>
      </c>
      <c r="Q56" s="215"/>
      <c r="R56" s="215"/>
      <c r="S56" s="110"/>
      <c r="T56" s="110"/>
    </row>
    <row r="57" spans="1:20" x14ac:dyDescent="0.25">
      <c r="A57" s="296"/>
      <c r="B57" s="107" t="s">
        <v>247</v>
      </c>
      <c r="C57" s="108" t="s">
        <v>487</v>
      </c>
      <c r="D57" s="220"/>
      <c r="E57" s="220"/>
      <c r="F57" s="218">
        <v>450</v>
      </c>
      <c r="G57" s="220"/>
      <c r="H57" s="220"/>
      <c r="I57" s="220"/>
      <c r="J57" s="220"/>
      <c r="K57" s="220"/>
      <c r="L57" s="220">
        <v>39747</v>
      </c>
      <c r="M57" s="216"/>
      <c r="N57" s="216"/>
      <c r="O57" s="216"/>
      <c r="P57" s="214">
        <f t="shared" si="1"/>
        <v>40197</v>
      </c>
      <c r="Q57" s="215"/>
      <c r="R57" s="215"/>
      <c r="S57" s="110"/>
      <c r="T57" s="110"/>
    </row>
    <row r="58" spans="1:20" x14ac:dyDescent="0.25">
      <c r="A58" s="296"/>
      <c r="B58" s="107" t="s">
        <v>247</v>
      </c>
      <c r="C58" s="108" t="s">
        <v>499</v>
      </c>
      <c r="D58" s="220">
        <v>10640</v>
      </c>
      <c r="E58" s="220">
        <v>2801.4</v>
      </c>
      <c r="F58" s="218">
        <v>1726.6010000000001</v>
      </c>
      <c r="G58" s="220"/>
      <c r="H58" s="220"/>
      <c r="I58" s="220"/>
      <c r="J58" s="220"/>
      <c r="K58" s="220"/>
      <c r="L58" s="220"/>
      <c r="M58" s="216"/>
      <c r="N58" s="216"/>
      <c r="O58" s="216"/>
      <c r="P58" s="214">
        <f t="shared" si="1"/>
        <v>15168.001</v>
      </c>
      <c r="Q58" s="215"/>
      <c r="R58" s="215"/>
      <c r="S58" s="110"/>
      <c r="T58" s="110"/>
    </row>
    <row r="59" spans="1:20" x14ac:dyDescent="0.25">
      <c r="A59" s="296"/>
      <c r="B59" s="107" t="s">
        <v>247</v>
      </c>
      <c r="C59" s="108" t="s">
        <v>500</v>
      </c>
      <c r="D59" s="220">
        <v>9069.4</v>
      </c>
      <c r="E59" s="220">
        <v>1715.8</v>
      </c>
      <c r="F59" s="218">
        <v>1258.472</v>
      </c>
      <c r="G59" s="220"/>
      <c r="H59" s="220"/>
      <c r="I59" s="220"/>
      <c r="J59" s="220"/>
      <c r="K59" s="220"/>
      <c r="L59" s="220">
        <v>1270</v>
      </c>
      <c r="M59" s="216"/>
      <c r="N59" s="216">
        <f>669.2+54.607</f>
        <v>723.80700000000002</v>
      </c>
      <c r="O59" s="216"/>
      <c r="P59" s="214">
        <f t="shared" si="1"/>
        <v>14037.478999999999</v>
      </c>
      <c r="Q59" s="215"/>
      <c r="R59" s="215"/>
      <c r="S59" s="110"/>
      <c r="T59" s="110"/>
    </row>
    <row r="60" spans="1:20" x14ac:dyDescent="0.25">
      <c r="A60" s="296">
        <v>56.8095238095243</v>
      </c>
      <c r="B60" s="107" t="s">
        <v>247</v>
      </c>
      <c r="C60" s="108" t="s">
        <v>501</v>
      </c>
      <c r="D60" s="220">
        <v>230</v>
      </c>
      <c r="E60" s="220">
        <v>45</v>
      </c>
      <c r="F60" s="218">
        <v>2396.8440000000001</v>
      </c>
      <c r="G60" s="220"/>
      <c r="H60" s="220"/>
      <c r="I60" s="220"/>
      <c r="J60" s="220"/>
      <c r="K60" s="220"/>
      <c r="L60" s="220"/>
      <c r="M60" s="216"/>
      <c r="N60" s="216">
        <v>824.76499999999999</v>
      </c>
      <c r="O60" s="216"/>
      <c r="P60" s="214">
        <f t="shared" si="1"/>
        <v>3496.6089999999999</v>
      </c>
      <c r="Q60" s="215"/>
      <c r="R60" s="215"/>
      <c r="S60" s="110"/>
      <c r="T60" s="110"/>
    </row>
    <row r="61" spans="1:20" x14ac:dyDescent="0.25">
      <c r="A61" s="296">
        <v>57.952380952381503</v>
      </c>
      <c r="B61" s="107" t="s">
        <v>247</v>
      </c>
      <c r="C61" s="108" t="s">
        <v>374</v>
      </c>
      <c r="D61" s="220">
        <v>4253.5439999999999</v>
      </c>
      <c r="E61" s="220">
        <v>1224.72</v>
      </c>
      <c r="F61" s="218">
        <v>12350.796</v>
      </c>
      <c r="G61" s="220"/>
      <c r="H61" s="220"/>
      <c r="I61" s="220"/>
      <c r="J61" s="220"/>
      <c r="K61" s="220"/>
      <c r="L61" s="220"/>
      <c r="M61" s="216"/>
      <c r="N61" s="216">
        <v>7493.7929999999997</v>
      </c>
      <c r="O61" s="216"/>
      <c r="P61" s="214">
        <f t="shared" si="1"/>
        <v>25322.853000000003</v>
      </c>
      <c r="Q61" s="215"/>
      <c r="R61" s="215"/>
      <c r="S61" s="110"/>
      <c r="T61" s="110"/>
    </row>
    <row r="62" spans="1:20" x14ac:dyDescent="0.25">
      <c r="A62" s="296">
        <v>59.095238095238699</v>
      </c>
      <c r="B62" s="107" t="s">
        <v>247</v>
      </c>
      <c r="C62" s="108" t="s">
        <v>375</v>
      </c>
      <c r="D62" s="220"/>
      <c r="E62" s="220"/>
      <c r="F62" s="218">
        <v>17438.231</v>
      </c>
      <c r="G62" s="220"/>
      <c r="H62" s="220"/>
      <c r="I62" s="220"/>
      <c r="J62" s="220"/>
      <c r="K62" s="220"/>
      <c r="L62" s="220">
        <v>186265.1</v>
      </c>
      <c r="M62" s="216"/>
      <c r="N62" s="216"/>
      <c r="O62" s="216"/>
      <c r="P62" s="214">
        <f t="shared" si="1"/>
        <v>203703.33100000001</v>
      </c>
      <c r="Q62" s="215"/>
      <c r="R62" s="215"/>
      <c r="S62" s="110"/>
      <c r="T62" s="110"/>
    </row>
    <row r="63" spans="1:20" x14ac:dyDescent="0.25">
      <c r="A63" s="296">
        <v>60.238095238095902</v>
      </c>
      <c r="B63" s="107" t="s">
        <v>247</v>
      </c>
      <c r="C63" s="108" t="s">
        <v>376</v>
      </c>
      <c r="D63" s="220"/>
      <c r="E63" s="220"/>
      <c r="F63" s="218"/>
      <c r="G63" s="220"/>
      <c r="H63" s="220"/>
      <c r="I63" s="220"/>
      <c r="J63" s="220"/>
      <c r="K63" s="220"/>
      <c r="L63" s="220">
        <v>35359.459000000003</v>
      </c>
      <c r="M63" s="216"/>
      <c r="N63" s="216"/>
      <c r="O63" s="216"/>
      <c r="P63" s="214">
        <f t="shared" si="1"/>
        <v>35359.459000000003</v>
      </c>
      <c r="Q63" s="215"/>
      <c r="R63" s="215"/>
      <c r="S63" s="110"/>
      <c r="T63" s="110"/>
    </row>
    <row r="64" spans="1:20" x14ac:dyDescent="0.25">
      <c r="A64" s="296">
        <v>61.380952380953097</v>
      </c>
      <c r="B64" s="62" t="s">
        <v>247</v>
      </c>
      <c r="C64" s="108" t="s">
        <v>520</v>
      </c>
      <c r="D64" s="220"/>
      <c r="E64" s="220"/>
      <c r="F64" s="218">
        <v>11855.38</v>
      </c>
      <c r="G64" s="220"/>
      <c r="H64" s="220"/>
      <c r="I64" s="220"/>
      <c r="J64" s="220"/>
      <c r="K64" s="220"/>
      <c r="L64" s="220">
        <v>158900.43799999999</v>
      </c>
      <c r="M64" s="216"/>
      <c r="N64" s="216"/>
      <c r="O64" s="216"/>
      <c r="P64" s="214">
        <f t="shared" si="1"/>
        <v>170755.818</v>
      </c>
      <c r="Q64" s="215"/>
      <c r="R64" s="215"/>
      <c r="S64" s="110"/>
      <c r="T64" s="110"/>
    </row>
    <row r="65" spans="1:20" x14ac:dyDescent="0.25">
      <c r="A65" s="296"/>
      <c r="B65" s="62" t="s">
        <v>247</v>
      </c>
      <c r="C65" s="108" t="s">
        <v>378</v>
      </c>
      <c r="D65" s="220"/>
      <c r="E65" s="220"/>
      <c r="F65" s="218">
        <v>223</v>
      </c>
      <c r="G65" s="220"/>
      <c r="H65" s="220"/>
      <c r="I65" s="220"/>
      <c r="J65" s="220"/>
      <c r="K65" s="220"/>
      <c r="L65" s="220">
        <v>42570.487999999998</v>
      </c>
      <c r="M65" s="216"/>
      <c r="N65" s="216"/>
      <c r="O65" s="216"/>
      <c r="P65" s="214">
        <f t="shared" si="1"/>
        <v>42793.487999999998</v>
      </c>
      <c r="Q65" s="215"/>
      <c r="R65" s="215"/>
      <c r="S65" s="110"/>
      <c r="T65" s="110"/>
    </row>
    <row r="66" spans="1:20" x14ac:dyDescent="0.25">
      <c r="A66" s="296"/>
      <c r="B66" s="62" t="s">
        <v>247</v>
      </c>
      <c r="C66" s="108" t="s">
        <v>553</v>
      </c>
      <c r="D66" s="220"/>
      <c r="E66" s="220"/>
      <c r="F66" s="218"/>
      <c r="G66" s="220"/>
      <c r="H66" s="220"/>
      <c r="I66" s="220"/>
      <c r="J66" s="220"/>
      <c r="K66" s="220"/>
      <c r="L66" s="220">
        <v>352.7</v>
      </c>
      <c r="M66" s="216"/>
      <c r="N66" s="216"/>
      <c r="O66" s="216"/>
      <c r="P66" s="214">
        <f t="shared" si="1"/>
        <v>352.7</v>
      </c>
      <c r="Q66" s="215"/>
      <c r="R66" s="215"/>
      <c r="S66" s="110"/>
      <c r="T66" s="110"/>
    </row>
    <row r="67" spans="1:20" x14ac:dyDescent="0.25">
      <c r="A67" s="296"/>
      <c r="B67" s="62" t="s">
        <v>247</v>
      </c>
      <c r="C67" s="108" t="s">
        <v>554</v>
      </c>
      <c r="D67" s="220"/>
      <c r="E67" s="220"/>
      <c r="F67" s="218"/>
      <c r="G67" s="220"/>
      <c r="H67" s="220"/>
      <c r="I67" s="220"/>
      <c r="J67" s="220"/>
      <c r="K67" s="220"/>
      <c r="L67" s="220">
        <v>803</v>
      </c>
      <c r="M67" s="216"/>
      <c r="N67" s="216"/>
      <c r="O67" s="216"/>
      <c r="P67" s="214">
        <f t="shared" si="1"/>
        <v>803</v>
      </c>
      <c r="Q67" s="215"/>
      <c r="R67" s="215" t="s">
        <v>305</v>
      </c>
      <c r="S67" s="110"/>
      <c r="T67" s="110"/>
    </row>
    <row r="68" spans="1:20" x14ac:dyDescent="0.25">
      <c r="A68" s="296"/>
      <c r="B68" s="62" t="s">
        <v>247</v>
      </c>
      <c r="C68" s="108" t="s">
        <v>555</v>
      </c>
      <c r="D68" s="220"/>
      <c r="E68" s="220"/>
      <c r="F68" s="218"/>
      <c r="G68" s="220"/>
      <c r="H68" s="220"/>
      <c r="I68" s="220"/>
      <c r="J68" s="220"/>
      <c r="K68" s="220"/>
      <c r="L68" s="220">
        <v>2205.9879999999998</v>
      </c>
      <c r="M68" s="216"/>
      <c r="N68" s="216"/>
      <c r="O68" s="216"/>
      <c r="P68" s="214">
        <f t="shared" si="1"/>
        <v>2205.9879999999998</v>
      </c>
      <c r="Q68" s="215"/>
      <c r="R68" s="215"/>
      <c r="S68" s="110"/>
      <c r="T68" s="110"/>
    </row>
    <row r="69" spans="1:20" x14ac:dyDescent="0.25">
      <c r="A69" s="296"/>
      <c r="B69" s="62" t="s">
        <v>247</v>
      </c>
      <c r="C69" s="108" t="s">
        <v>556</v>
      </c>
      <c r="D69" s="220"/>
      <c r="E69" s="220"/>
      <c r="F69" s="218"/>
      <c r="G69" s="220"/>
      <c r="H69" s="220"/>
      <c r="I69" s="220"/>
      <c r="J69" s="220"/>
      <c r="K69" s="220"/>
      <c r="L69" s="220">
        <v>2362.4</v>
      </c>
      <c r="M69" s="216"/>
      <c r="N69" s="216"/>
      <c r="O69" s="216"/>
      <c r="P69" s="214">
        <f t="shared" si="1"/>
        <v>2362.4</v>
      </c>
      <c r="Q69" s="215"/>
      <c r="R69" s="215"/>
      <c r="S69" s="110"/>
      <c r="T69" s="110"/>
    </row>
    <row r="70" spans="1:20" x14ac:dyDescent="0.25">
      <c r="A70" s="296"/>
      <c r="B70" s="62" t="s">
        <v>247</v>
      </c>
      <c r="C70" s="108" t="s">
        <v>557</v>
      </c>
      <c r="D70" s="220"/>
      <c r="E70" s="220"/>
      <c r="F70" s="218"/>
      <c r="G70" s="220"/>
      <c r="H70" s="220"/>
      <c r="I70" s="220"/>
      <c r="J70" s="220"/>
      <c r="K70" s="220"/>
      <c r="L70" s="220">
        <v>1954.53</v>
      </c>
      <c r="M70" s="216"/>
      <c r="N70" s="216"/>
      <c r="O70" s="216"/>
      <c r="P70" s="214">
        <f t="shared" si="1"/>
        <v>1954.53</v>
      </c>
      <c r="Q70" s="215"/>
      <c r="R70" s="215"/>
      <c r="S70" s="110"/>
      <c r="T70" s="110"/>
    </row>
    <row r="71" spans="1:20" x14ac:dyDescent="0.25">
      <c r="A71" s="296"/>
      <c r="B71" s="62" t="s">
        <v>247</v>
      </c>
      <c r="C71" s="108" t="s">
        <v>558</v>
      </c>
      <c r="D71" s="220"/>
      <c r="E71" s="220"/>
      <c r="F71" s="218">
        <v>1592</v>
      </c>
      <c r="G71" s="220"/>
      <c r="H71" s="220"/>
      <c r="I71" s="220"/>
      <c r="J71" s="220"/>
      <c r="K71" s="220"/>
      <c r="L71" s="220"/>
      <c r="M71" s="216"/>
      <c r="N71" s="216"/>
      <c r="O71" s="216"/>
      <c r="P71" s="214">
        <f t="shared" si="1"/>
        <v>1592</v>
      </c>
      <c r="Q71" s="215"/>
      <c r="R71" s="215"/>
      <c r="S71" s="110"/>
      <c r="T71" s="110"/>
    </row>
    <row r="72" spans="1:20" x14ac:dyDescent="0.25">
      <c r="A72" s="296"/>
      <c r="B72" s="62" t="s">
        <v>247</v>
      </c>
      <c r="C72" s="108" t="s">
        <v>559</v>
      </c>
      <c r="D72" s="220"/>
      <c r="E72" s="220"/>
      <c r="F72" s="218"/>
      <c r="G72" s="220"/>
      <c r="H72" s="220"/>
      <c r="I72" s="220"/>
      <c r="J72" s="220"/>
      <c r="K72" s="220"/>
      <c r="L72" s="220"/>
      <c r="M72" s="216">
        <v>2882.1</v>
      </c>
      <c r="N72" s="216"/>
      <c r="O72" s="216"/>
      <c r="P72" s="214">
        <f t="shared" si="1"/>
        <v>2882.1</v>
      </c>
      <c r="Q72" s="215"/>
      <c r="R72" s="215"/>
      <c r="S72" s="110"/>
      <c r="T72" s="110"/>
    </row>
    <row r="73" spans="1:20" x14ac:dyDescent="0.25">
      <c r="A73" s="296"/>
      <c r="B73" s="62" t="s">
        <v>247</v>
      </c>
      <c r="C73" s="108" t="s">
        <v>560</v>
      </c>
      <c r="D73" s="220"/>
      <c r="E73" s="220"/>
      <c r="F73" s="218">
        <v>5475.56</v>
      </c>
      <c r="G73" s="220"/>
      <c r="H73" s="220"/>
      <c r="I73" s="220"/>
      <c r="J73" s="220"/>
      <c r="K73" s="220"/>
      <c r="L73" s="220">
        <v>5000</v>
      </c>
      <c r="M73" s="216"/>
      <c r="N73" s="216"/>
      <c r="O73" s="216"/>
      <c r="P73" s="214">
        <f t="shared" si="1"/>
        <v>10475.560000000001</v>
      </c>
      <c r="Q73" s="215"/>
      <c r="R73" s="215"/>
      <c r="S73" s="110"/>
      <c r="T73" s="110"/>
    </row>
    <row r="74" spans="1:20" x14ac:dyDescent="0.25">
      <c r="A74" s="296">
        <v>62.5238095238103</v>
      </c>
      <c r="B74" s="107" t="s">
        <v>247</v>
      </c>
      <c r="C74" s="108" t="s">
        <v>498</v>
      </c>
      <c r="D74" s="220">
        <v>120</v>
      </c>
      <c r="E74" s="220">
        <v>23.4</v>
      </c>
      <c r="F74" s="218"/>
      <c r="G74" s="220"/>
      <c r="H74" s="220"/>
      <c r="I74" s="220">
        <v>19381.203000000001</v>
      </c>
      <c r="J74" s="220"/>
      <c r="K74" s="220"/>
      <c r="L74" s="220"/>
      <c r="M74" s="216"/>
      <c r="N74" s="216"/>
      <c r="O74" s="216"/>
      <c r="P74" s="214">
        <f t="shared" si="1"/>
        <v>19524.603000000003</v>
      </c>
      <c r="Q74" s="215"/>
      <c r="R74" s="215"/>
      <c r="S74" s="110"/>
      <c r="T74" s="110"/>
    </row>
    <row r="75" spans="1:20" ht="15.75" x14ac:dyDescent="0.25">
      <c r="A75" s="296">
        <v>63.666666666667503</v>
      </c>
      <c r="B75" s="107"/>
      <c r="C75" s="144" t="s">
        <v>287</v>
      </c>
      <c r="D75" s="214">
        <f t="shared" ref="D75:Q75" si="2">SUM(D6:D74)</f>
        <v>112786.62999999999</v>
      </c>
      <c r="E75" s="214">
        <f t="shared" si="2"/>
        <v>16680.748000000003</v>
      </c>
      <c r="F75" s="214">
        <f t="shared" si="2"/>
        <v>164203.66699999999</v>
      </c>
      <c r="G75" s="214">
        <f t="shared" si="2"/>
        <v>5300</v>
      </c>
      <c r="H75" s="214">
        <f t="shared" si="2"/>
        <v>21834.1</v>
      </c>
      <c r="I75" s="214">
        <f t="shared" si="2"/>
        <v>22284.203000000001</v>
      </c>
      <c r="J75" s="214">
        <f t="shared" si="2"/>
        <v>1000</v>
      </c>
      <c r="K75" s="214">
        <f t="shared" si="2"/>
        <v>0</v>
      </c>
      <c r="L75" s="214">
        <f t="shared" si="2"/>
        <v>571836.66200000001</v>
      </c>
      <c r="M75" s="214">
        <f t="shared" si="2"/>
        <v>28041.8</v>
      </c>
      <c r="N75" s="214">
        <f t="shared" si="2"/>
        <v>31143.394999999997</v>
      </c>
      <c r="O75" s="214">
        <f t="shared" si="2"/>
        <v>15351.323</v>
      </c>
      <c r="P75" s="214">
        <f>SUM(P6:P74)</f>
        <v>990462.52800000005</v>
      </c>
      <c r="Q75" s="214">
        <f t="shared" si="2"/>
        <v>0</v>
      </c>
      <c r="R75" s="214"/>
      <c r="S75" s="109"/>
      <c r="T75" s="109"/>
    </row>
    <row r="76" spans="1:20" ht="15.75" x14ac:dyDescent="0.25">
      <c r="A76" s="296">
        <v>64.809523809524705</v>
      </c>
      <c r="B76" s="107"/>
      <c r="C76" s="144" t="s">
        <v>391</v>
      </c>
      <c r="D76" s="214"/>
      <c r="E76" s="214"/>
      <c r="F76" s="214"/>
      <c r="G76" s="214"/>
      <c r="H76" s="214"/>
      <c r="I76" s="214"/>
      <c r="J76" s="214"/>
      <c r="K76" s="214"/>
      <c r="L76" s="214"/>
      <c r="M76" s="214"/>
      <c r="N76" s="214"/>
      <c r="O76" s="214"/>
      <c r="P76" s="214"/>
      <c r="Q76" s="214"/>
      <c r="R76" s="214"/>
      <c r="S76" s="276"/>
      <c r="T76" s="276"/>
    </row>
    <row r="77" spans="1:20" ht="28.5" x14ac:dyDescent="0.25">
      <c r="A77" s="296"/>
      <c r="B77" s="107"/>
      <c r="C77" s="144"/>
      <c r="D77" s="215" t="s">
        <v>511</v>
      </c>
      <c r="E77" s="215" t="s">
        <v>510</v>
      </c>
      <c r="F77" s="214" t="s">
        <v>600</v>
      </c>
      <c r="G77" s="214"/>
      <c r="H77" s="214"/>
      <c r="I77" s="214"/>
      <c r="J77" s="214"/>
      <c r="K77" s="214"/>
      <c r="L77" s="214"/>
      <c r="M77" s="214"/>
      <c r="N77" s="214"/>
      <c r="O77" s="214"/>
      <c r="P77" s="214"/>
      <c r="Q77" s="214"/>
      <c r="R77" s="214"/>
      <c r="S77" s="276"/>
      <c r="T77" s="276"/>
    </row>
    <row r="78" spans="1:20" ht="15.75" x14ac:dyDescent="0.25">
      <c r="A78" s="296">
        <v>65.952380952381901</v>
      </c>
      <c r="B78" s="140"/>
      <c r="C78" s="282" t="s">
        <v>392</v>
      </c>
      <c r="D78" s="281"/>
      <c r="E78" s="279"/>
      <c r="F78" s="315">
        <v>1</v>
      </c>
      <c r="G78" s="279"/>
      <c r="H78" s="279"/>
      <c r="I78" s="279"/>
      <c r="J78" s="279"/>
      <c r="K78" s="279"/>
      <c r="L78" s="279"/>
      <c r="M78" s="279"/>
      <c r="N78" s="279"/>
      <c r="O78" s="279"/>
      <c r="P78" s="279"/>
      <c r="Q78" s="279"/>
      <c r="R78" s="279"/>
      <c r="S78" s="280"/>
      <c r="T78" s="280"/>
    </row>
    <row r="79" spans="1:20" ht="15.75" x14ac:dyDescent="0.25">
      <c r="A79" s="296">
        <v>67.095238095239097</v>
      </c>
      <c r="B79" s="140"/>
      <c r="C79" s="282" t="s">
        <v>393</v>
      </c>
      <c r="D79" s="281"/>
      <c r="E79" s="279"/>
      <c r="F79" s="315">
        <v>6</v>
      </c>
      <c r="G79" s="279"/>
      <c r="H79" s="279"/>
      <c r="I79" s="279"/>
      <c r="J79" s="279"/>
      <c r="K79" s="279"/>
      <c r="L79" s="279"/>
      <c r="M79" s="279"/>
      <c r="N79" s="279"/>
      <c r="O79" s="279"/>
      <c r="P79" s="279"/>
      <c r="Q79" s="279"/>
      <c r="R79" s="279"/>
      <c r="S79" s="280"/>
      <c r="T79" s="280"/>
    </row>
    <row r="80" spans="1:20" ht="15.75" x14ac:dyDescent="0.25">
      <c r="A80" s="296">
        <v>68.238095238096406</v>
      </c>
      <c r="B80" s="140"/>
      <c r="C80" s="282" t="s">
        <v>394</v>
      </c>
      <c r="D80" s="281"/>
      <c r="E80" s="279"/>
      <c r="F80" s="315">
        <v>2</v>
      </c>
      <c r="G80" s="279"/>
      <c r="H80" s="279"/>
      <c r="I80" s="279"/>
      <c r="J80" s="279"/>
      <c r="K80" s="279"/>
      <c r="L80" s="279"/>
      <c r="M80" s="279"/>
      <c r="N80" s="279"/>
      <c r="O80" s="279"/>
      <c r="P80" s="279"/>
      <c r="Q80" s="279"/>
      <c r="R80" s="279"/>
      <c r="S80" s="280"/>
      <c r="T80" s="280"/>
    </row>
    <row r="81" spans="1:20" ht="15.75" x14ac:dyDescent="0.25">
      <c r="A81" s="296"/>
      <c r="B81" s="140"/>
      <c r="C81" s="282" t="s">
        <v>512</v>
      </c>
      <c r="D81" s="281"/>
      <c r="E81" s="279"/>
      <c r="F81" s="315">
        <v>1</v>
      </c>
      <c r="G81" s="279"/>
      <c r="H81" s="279"/>
      <c r="I81" s="279"/>
      <c r="J81" s="279"/>
      <c r="K81" s="279"/>
      <c r="L81" s="279"/>
      <c r="M81" s="279"/>
      <c r="N81" s="279"/>
      <c r="O81" s="279"/>
      <c r="P81" s="279"/>
      <c r="Q81" s="279"/>
      <c r="R81" s="279"/>
      <c r="S81" s="280"/>
      <c r="T81" s="280"/>
    </row>
    <row r="82" spans="1:20" ht="15.75" x14ac:dyDescent="0.25">
      <c r="A82" s="296">
        <v>69.380952380953602</v>
      </c>
      <c r="B82" s="140"/>
      <c r="C82" s="282" t="s">
        <v>395</v>
      </c>
      <c r="D82" s="281">
        <v>60</v>
      </c>
      <c r="E82" s="315">
        <v>53</v>
      </c>
      <c r="F82" s="315">
        <v>55</v>
      </c>
      <c r="G82" s="279"/>
      <c r="H82" s="279"/>
      <c r="I82" s="279"/>
      <c r="J82" s="279"/>
      <c r="K82" s="279"/>
      <c r="L82" s="279"/>
      <c r="M82" s="279"/>
      <c r="N82" s="279"/>
      <c r="O82" s="279"/>
      <c r="P82" s="279"/>
      <c r="Q82" s="279"/>
      <c r="R82" s="279"/>
      <c r="S82" s="280"/>
      <c r="T82" s="280"/>
    </row>
    <row r="83" spans="1:20" ht="15.75" x14ac:dyDescent="0.25">
      <c r="A83" s="296"/>
      <c r="B83" s="140"/>
      <c r="C83" s="282" t="s">
        <v>561</v>
      </c>
      <c r="D83" s="281"/>
      <c r="E83" s="315"/>
      <c r="F83" s="315">
        <v>1</v>
      </c>
      <c r="G83" s="279"/>
      <c r="H83" s="279"/>
      <c r="I83" s="279"/>
      <c r="J83" s="279"/>
      <c r="K83" s="279"/>
      <c r="L83" s="279"/>
      <c r="M83" s="279"/>
      <c r="N83" s="279"/>
      <c r="O83" s="279"/>
      <c r="P83" s="279"/>
      <c r="Q83" s="279"/>
      <c r="R83" s="279"/>
      <c r="S83" s="280"/>
      <c r="T83" s="280"/>
    </row>
    <row r="84" spans="1:20" ht="15.75" x14ac:dyDescent="0.25">
      <c r="A84" s="296"/>
      <c r="B84" s="140"/>
      <c r="C84" s="282" t="s">
        <v>509</v>
      </c>
      <c r="D84" s="281">
        <v>21</v>
      </c>
      <c r="E84" s="279"/>
      <c r="F84" s="315">
        <v>2</v>
      </c>
      <c r="G84" s="279"/>
      <c r="H84" s="279"/>
      <c r="I84" s="279"/>
      <c r="J84" s="279"/>
      <c r="K84" s="279"/>
      <c r="L84" s="279"/>
      <c r="M84" s="279"/>
      <c r="N84" s="279"/>
      <c r="O84" s="279"/>
      <c r="P84" s="279"/>
      <c r="Q84" s="279"/>
      <c r="R84" s="279"/>
      <c r="S84" s="280"/>
      <c r="T84" s="280"/>
    </row>
    <row r="85" spans="1:20" s="152" customFormat="1" ht="15.75" x14ac:dyDescent="0.25">
      <c r="A85" s="296">
        <v>70.523809523810797</v>
      </c>
      <c r="B85" s="277"/>
      <c r="C85" s="283" t="s">
        <v>213</v>
      </c>
      <c r="D85" s="284"/>
      <c r="E85" s="214"/>
      <c r="F85" s="109">
        <f>SUM(F78:F84)</f>
        <v>68</v>
      </c>
      <c r="G85" s="214"/>
      <c r="H85" s="214"/>
      <c r="I85" s="214"/>
      <c r="J85" s="214"/>
      <c r="K85" s="214"/>
      <c r="L85" s="214"/>
      <c r="M85" s="214"/>
      <c r="N85" s="214"/>
      <c r="O85" s="214"/>
      <c r="P85" s="214"/>
      <c r="Q85" s="214"/>
      <c r="R85" s="214"/>
      <c r="S85" s="276"/>
      <c r="T85" s="276"/>
    </row>
    <row r="86" spans="1:20" ht="15.75" x14ac:dyDescent="0.25">
      <c r="A86" s="296">
        <v>71.666666666667993</v>
      </c>
      <c r="B86" s="140"/>
      <c r="C86" s="278"/>
      <c r="D86" s="279"/>
      <c r="E86" s="279"/>
      <c r="F86" s="279"/>
      <c r="G86" s="279"/>
      <c r="H86" s="279"/>
      <c r="I86" s="279"/>
      <c r="J86" s="279"/>
      <c r="K86" s="279"/>
      <c r="L86" s="279"/>
      <c r="M86" s="279"/>
      <c r="N86" s="279"/>
      <c r="O86" s="279"/>
      <c r="P86" s="279"/>
      <c r="Q86" s="279"/>
      <c r="R86" s="279"/>
      <c r="S86" s="280"/>
      <c r="T86" s="280"/>
    </row>
    <row r="87" spans="1:20" x14ac:dyDescent="0.25">
      <c r="A87" s="296">
        <v>72.809523809525203</v>
      </c>
      <c r="B87" s="107"/>
      <c r="C87" s="148" t="s">
        <v>271</v>
      </c>
      <c r="D87" s="219">
        <f t="shared" ref="D87:P87" si="3">SUMIF($B6:$B74,"kötelező",D6:D74)</f>
        <v>88088.686000000002</v>
      </c>
      <c r="E87" s="219">
        <f t="shared" si="3"/>
        <v>10870.428000000002</v>
      </c>
      <c r="F87" s="219">
        <f t="shared" si="3"/>
        <v>97864.771999999997</v>
      </c>
      <c r="G87" s="219">
        <f t="shared" si="3"/>
        <v>2000</v>
      </c>
      <c r="H87" s="219">
        <f t="shared" si="3"/>
        <v>16108.1</v>
      </c>
      <c r="I87" s="219">
        <f t="shared" si="3"/>
        <v>2903</v>
      </c>
      <c r="J87" s="219">
        <f t="shared" si="3"/>
        <v>1000</v>
      </c>
      <c r="K87" s="219">
        <f t="shared" si="3"/>
        <v>0</v>
      </c>
      <c r="L87" s="219">
        <f t="shared" si="3"/>
        <v>3081.78</v>
      </c>
      <c r="M87" s="219">
        <f t="shared" si="3"/>
        <v>1300.7</v>
      </c>
      <c r="N87" s="219">
        <f t="shared" si="3"/>
        <v>0</v>
      </c>
      <c r="O87" s="219">
        <f t="shared" si="3"/>
        <v>15351.323</v>
      </c>
      <c r="P87" s="219">
        <f t="shared" si="3"/>
        <v>238568.78900000002</v>
      </c>
      <c r="Q87" s="215"/>
      <c r="R87" s="215"/>
      <c r="S87" s="149"/>
      <c r="T87" s="149"/>
    </row>
    <row r="88" spans="1:20" x14ac:dyDescent="0.25">
      <c r="A88" s="296">
        <v>73.952380952382399</v>
      </c>
      <c r="B88" s="107"/>
      <c r="C88" s="148" t="s">
        <v>272</v>
      </c>
      <c r="D88" s="219">
        <f t="shared" ref="D88:Q88" si="4">SUMIF($B6:$B74,"nem kötelező",D6:D74)</f>
        <v>24697.944000000003</v>
      </c>
      <c r="E88" s="219">
        <f t="shared" si="4"/>
        <v>5810.32</v>
      </c>
      <c r="F88" s="219">
        <f t="shared" si="4"/>
        <v>66338.895000000004</v>
      </c>
      <c r="G88" s="219">
        <f t="shared" si="4"/>
        <v>3300</v>
      </c>
      <c r="H88" s="219">
        <f t="shared" si="4"/>
        <v>5726</v>
      </c>
      <c r="I88" s="219">
        <f t="shared" si="4"/>
        <v>19381.203000000001</v>
      </c>
      <c r="J88" s="219">
        <f t="shared" si="4"/>
        <v>0</v>
      </c>
      <c r="K88" s="219">
        <f t="shared" si="4"/>
        <v>0</v>
      </c>
      <c r="L88" s="219">
        <f t="shared" si="4"/>
        <v>568754.88199999998</v>
      </c>
      <c r="M88" s="219">
        <f t="shared" si="4"/>
        <v>26741.1</v>
      </c>
      <c r="N88" s="219">
        <f t="shared" si="4"/>
        <v>31143.394999999997</v>
      </c>
      <c r="O88" s="219">
        <f t="shared" si="4"/>
        <v>0</v>
      </c>
      <c r="P88" s="219">
        <f t="shared" si="4"/>
        <v>751893.73900000006</v>
      </c>
      <c r="Q88" s="219">
        <f t="shared" si="4"/>
        <v>0</v>
      </c>
      <c r="R88" s="215"/>
      <c r="S88" s="149"/>
      <c r="T88" s="149"/>
    </row>
    <row r="89" spans="1:20" s="152" customFormat="1" x14ac:dyDescent="0.25">
      <c r="A89" s="296">
        <v>75.095238095239594</v>
      </c>
      <c r="B89" s="150"/>
      <c r="C89" s="151" t="s">
        <v>355</v>
      </c>
      <c r="D89" s="221">
        <f>SUM(D90:D91)</f>
        <v>59730</v>
      </c>
      <c r="E89" s="221">
        <f t="shared" ref="E89:Q89" si="5">SUM(E90:E91)</f>
        <v>11800</v>
      </c>
      <c r="F89" s="221">
        <f t="shared" si="5"/>
        <v>9460</v>
      </c>
      <c r="G89" s="221">
        <f t="shared" si="5"/>
        <v>0</v>
      </c>
      <c r="H89" s="221">
        <f t="shared" si="5"/>
        <v>0</v>
      </c>
      <c r="I89" s="221">
        <f t="shared" si="5"/>
        <v>0</v>
      </c>
      <c r="J89" s="221">
        <f t="shared" si="5"/>
        <v>0</v>
      </c>
      <c r="K89" s="221"/>
      <c r="L89" s="221">
        <f t="shared" si="5"/>
        <v>149.4</v>
      </c>
      <c r="M89" s="221">
        <f t="shared" si="5"/>
        <v>0</v>
      </c>
      <c r="N89" s="221">
        <f t="shared" si="5"/>
        <v>0</v>
      </c>
      <c r="O89" s="221">
        <f t="shared" si="5"/>
        <v>0</v>
      </c>
      <c r="P89" s="221">
        <f t="shared" si="5"/>
        <v>81139.399999999994</v>
      </c>
      <c r="Q89" s="221">
        <f t="shared" si="5"/>
        <v>80794.399999999994</v>
      </c>
      <c r="R89" s="215"/>
      <c r="S89" s="149"/>
      <c r="T89" s="149"/>
    </row>
    <row r="90" spans="1:20" x14ac:dyDescent="0.25">
      <c r="A90" s="296">
        <v>76.238095238096804</v>
      </c>
      <c r="B90" s="107" t="s">
        <v>241</v>
      </c>
      <c r="C90" s="153" t="s">
        <v>271</v>
      </c>
      <c r="D90" s="216">
        <v>53568.2</v>
      </c>
      <c r="E90" s="216">
        <v>10553.8</v>
      </c>
      <c r="F90" s="216">
        <v>9460</v>
      </c>
      <c r="G90" s="216"/>
      <c r="H90" s="216"/>
      <c r="I90" s="216"/>
      <c r="J90" s="216"/>
      <c r="K90" s="216"/>
      <c r="L90" s="216">
        <v>149.4</v>
      </c>
      <c r="M90" s="216"/>
      <c r="N90" s="216"/>
      <c r="O90" s="216"/>
      <c r="P90" s="216">
        <f>SUM(D90:O90)</f>
        <v>73731.399999999994</v>
      </c>
      <c r="Q90" s="222">
        <v>73386.399999999994</v>
      </c>
      <c r="R90" s="222"/>
      <c r="S90" s="154"/>
      <c r="T90" s="154"/>
    </row>
    <row r="91" spans="1:20" x14ac:dyDescent="0.25">
      <c r="A91" s="296">
        <v>77.380952380954</v>
      </c>
      <c r="B91" s="107" t="s">
        <v>346</v>
      </c>
      <c r="C91" s="153" t="s">
        <v>345</v>
      </c>
      <c r="D91" s="216">
        <v>6161.8</v>
      </c>
      <c r="E91" s="216">
        <v>1246.2</v>
      </c>
      <c r="F91" s="216"/>
      <c r="G91" s="216"/>
      <c r="H91" s="216"/>
      <c r="I91" s="216"/>
      <c r="J91" s="216"/>
      <c r="K91" s="216"/>
      <c r="L91" s="216"/>
      <c r="M91" s="216"/>
      <c r="N91" s="216"/>
      <c r="O91" s="216"/>
      <c r="P91" s="216">
        <f>SUM(D91:O91)</f>
        <v>7408</v>
      </c>
      <c r="Q91" s="222">
        <v>7408</v>
      </c>
      <c r="R91" s="222"/>
      <c r="S91" s="154"/>
      <c r="T91" s="154"/>
    </row>
    <row r="92" spans="1:20" s="152" customFormat="1" x14ac:dyDescent="0.25">
      <c r="A92" s="296">
        <v>78.523809523811195</v>
      </c>
      <c r="B92" s="150"/>
      <c r="C92" s="151" t="s">
        <v>273</v>
      </c>
      <c r="D92" s="221">
        <f>SUM(D93:D94)</f>
        <v>77715.199999999997</v>
      </c>
      <c r="E92" s="221">
        <f t="shared" ref="E92:Q92" si="6">SUM(E93:E94)</f>
        <v>15078</v>
      </c>
      <c r="F92" s="221">
        <f t="shared" si="6"/>
        <v>6089.5</v>
      </c>
      <c r="G92" s="221">
        <f t="shared" si="6"/>
        <v>0</v>
      </c>
      <c r="H92" s="221">
        <f t="shared" si="6"/>
        <v>0</v>
      </c>
      <c r="I92" s="221">
        <f t="shared" si="6"/>
        <v>0</v>
      </c>
      <c r="J92" s="221">
        <f t="shared" si="6"/>
        <v>0</v>
      </c>
      <c r="K92" s="221"/>
      <c r="L92" s="221">
        <f t="shared" si="6"/>
        <v>795</v>
      </c>
      <c r="M92" s="221">
        <f t="shared" si="6"/>
        <v>0</v>
      </c>
      <c r="N92" s="221">
        <f t="shared" si="6"/>
        <v>0</v>
      </c>
      <c r="O92" s="221">
        <f t="shared" si="6"/>
        <v>0</v>
      </c>
      <c r="P92" s="221">
        <f t="shared" si="6"/>
        <v>99677.7</v>
      </c>
      <c r="Q92" s="221">
        <f t="shared" si="6"/>
        <v>99671.2</v>
      </c>
      <c r="R92" s="215"/>
      <c r="S92" s="149"/>
      <c r="T92" s="149"/>
    </row>
    <row r="93" spans="1:20" x14ac:dyDescent="0.25">
      <c r="A93" s="296">
        <v>79.666666666668405</v>
      </c>
      <c r="B93" s="107" t="s">
        <v>241</v>
      </c>
      <c r="C93" s="153" t="s">
        <v>271</v>
      </c>
      <c r="D93" s="216">
        <v>77715.199999999997</v>
      </c>
      <c r="E93" s="216">
        <v>15078</v>
      </c>
      <c r="F93" s="216">
        <v>6089.5</v>
      </c>
      <c r="G93" s="216"/>
      <c r="H93" s="216"/>
      <c r="I93" s="216"/>
      <c r="J93" s="216"/>
      <c r="K93" s="216"/>
      <c r="L93" s="216">
        <v>795</v>
      </c>
      <c r="M93" s="216"/>
      <c r="N93" s="216"/>
      <c r="O93" s="216"/>
      <c r="P93" s="216">
        <f>SUM(D93:O93)</f>
        <v>99677.7</v>
      </c>
      <c r="Q93" s="222">
        <v>99671.2</v>
      </c>
      <c r="R93" s="222"/>
      <c r="S93" s="154"/>
      <c r="T93" s="154"/>
    </row>
    <row r="94" spans="1:20" x14ac:dyDescent="0.25">
      <c r="A94" s="296">
        <v>80.809523809525601</v>
      </c>
      <c r="B94" s="107" t="s">
        <v>247</v>
      </c>
      <c r="C94" s="153" t="s">
        <v>272</v>
      </c>
      <c r="D94" s="216"/>
      <c r="E94" s="216"/>
      <c r="F94" s="216"/>
      <c r="G94" s="216"/>
      <c r="H94" s="216"/>
      <c r="I94" s="216"/>
      <c r="J94" s="216"/>
      <c r="K94" s="216"/>
      <c r="L94" s="216"/>
      <c r="M94" s="216"/>
      <c r="N94" s="216"/>
      <c r="O94" s="216"/>
      <c r="P94" s="216">
        <f>SUM(D94:O94)</f>
        <v>0</v>
      </c>
      <c r="Q94" s="222"/>
      <c r="R94" s="222"/>
      <c r="S94" s="154"/>
      <c r="T94" s="154"/>
    </row>
    <row r="95" spans="1:20" s="152" customFormat="1" x14ac:dyDescent="0.25">
      <c r="A95" s="296">
        <v>81.952380952382796</v>
      </c>
      <c r="B95" s="150"/>
      <c r="C95" s="151" t="s">
        <v>274</v>
      </c>
      <c r="D95" s="221">
        <f>SUM(D96:D97)</f>
        <v>87518.9</v>
      </c>
      <c r="E95" s="221">
        <f t="shared" ref="E95:Q95" si="7">SUM(E96:E97)</f>
        <v>16858.5</v>
      </c>
      <c r="F95" s="221">
        <f t="shared" si="7"/>
        <v>38453</v>
      </c>
      <c r="G95" s="221">
        <f t="shared" si="7"/>
        <v>0</v>
      </c>
      <c r="H95" s="221">
        <f t="shared" si="7"/>
        <v>0</v>
      </c>
      <c r="I95" s="221">
        <f t="shared" si="7"/>
        <v>0</v>
      </c>
      <c r="J95" s="221">
        <f t="shared" si="7"/>
        <v>0</v>
      </c>
      <c r="K95" s="221"/>
      <c r="L95" s="221">
        <f t="shared" si="7"/>
        <v>2460</v>
      </c>
      <c r="M95" s="221">
        <f t="shared" si="7"/>
        <v>0</v>
      </c>
      <c r="N95" s="221">
        <f t="shared" si="7"/>
        <v>0</v>
      </c>
      <c r="O95" s="221">
        <f t="shared" si="7"/>
        <v>0</v>
      </c>
      <c r="P95" s="221">
        <f t="shared" si="7"/>
        <v>145290.4</v>
      </c>
      <c r="Q95" s="221">
        <f t="shared" si="7"/>
        <v>113191.4</v>
      </c>
      <c r="R95" s="215"/>
      <c r="S95" s="149"/>
      <c r="T95" s="149"/>
    </row>
    <row r="96" spans="1:20" x14ac:dyDescent="0.25">
      <c r="A96" s="296">
        <v>83.095238095240006</v>
      </c>
      <c r="B96" s="107" t="s">
        <v>241</v>
      </c>
      <c r="C96" s="153" t="s">
        <v>271</v>
      </c>
      <c r="D96" s="216">
        <v>34154.9</v>
      </c>
      <c r="E96" s="216">
        <v>6568.5</v>
      </c>
      <c r="F96" s="216">
        <v>13363</v>
      </c>
      <c r="G96" s="216"/>
      <c r="H96" s="216"/>
      <c r="I96" s="216"/>
      <c r="J96" s="216"/>
      <c r="K96" s="216"/>
      <c r="L96" s="216">
        <v>2460</v>
      </c>
      <c r="M96" s="216"/>
      <c r="N96" s="216"/>
      <c r="O96" s="216"/>
      <c r="P96" s="216">
        <f>SUM(D96:O96)</f>
        <v>56546.400000000001</v>
      </c>
      <c r="Q96" s="222">
        <v>51877.4</v>
      </c>
      <c r="R96" s="222"/>
      <c r="S96" s="154"/>
      <c r="T96" s="154"/>
    </row>
    <row r="97" spans="1:21" x14ac:dyDescent="0.25">
      <c r="A97" s="296">
        <v>84.238095238097202</v>
      </c>
      <c r="B97" s="107" t="s">
        <v>247</v>
      </c>
      <c r="C97" s="153" t="s">
        <v>272</v>
      </c>
      <c r="D97" s="216">
        <v>53364</v>
      </c>
      <c r="E97" s="216">
        <v>10290</v>
      </c>
      <c r="F97" s="216">
        <v>25090</v>
      </c>
      <c r="G97" s="216"/>
      <c r="H97" s="216"/>
      <c r="I97" s="216"/>
      <c r="J97" s="216"/>
      <c r="K97" s="216"/>
      <c r="L97" s="216"/>
      <c r="M97" s="216"/>
      <c r="N97" s="216"/>
      <c r="O97" s="216"/>
      <c r="P97" s="216">
        <f>SUM(D97:O97)</f>
        <v>88744</v>
      </c>
      <c r="Q97" s="222">
        <f>61014+300</f>
        <v>61314</v>
      </c>
      <c r="R97" s="222"/>
      <c r="S97" s="154"/>
      <c r="T97" s="154"/>
    </row>
    <row r="98" spans="1:21" s="152" customFormat="1" x14ac:dyDescent="0.25">
      <c r="A98" s="296">
        <v>85.380952380954398</v>
      </c>
      <c r="B98" s="150"/>
      <c r="C98" s="151" t="s">
        <v>381</v>
      </c>
      <c r="D98" s="221">
        <f>SUM(D99:D100)</f>
        <v>13393</v>
      </c>
      <c r="E98" s="221">
        <f t="shared" ref="E98:Q98" si="8">SUM(E99:E100)</f>
        <v>2658</v>
      </c>
      <c r="F98" s="221">
        <f t="shared" si="8"/>
        <v>30519.01</v>
      </c>
      <c r="G98" s="221">
        <f t="shared" si="8"/>
        <v>0</v>
      </c>
      <c r="H98" s="221">
        <f t="shared" si="8"/>
        <v>0</v>
      </c>
      <c r="I98" s="221">
        <f t="shared" si="8"/>
        <v>0</v>
      </c>
      <c r="J98" s="221">
        <f t="shared" si="8"/>
        <v>0</v>
      </c>
      <c r="K98" s="221">
        <f t="shared" si="8"/>
        <v>0</v>
      </c>
      <c r="L98" s="221">
        <f t="shared" si="8"/>
        <v>127</v>
      </c>
      <c r="M98" s="221">
        <f t="shared" si="8"/>
        <v>0</v>
      </c>
      <c r="N98" s="221">
        <f t="shared" si="8"/>
        <v>0</v>
      </c>
      <c r="O98" s="221">
        <f t="shared" si="8"/>
        <v>0</v>
      </c>
      <c r="P98" s="221">
        <f t="shared" si="8"/>
        <v>46697.009999999995</v>
      </c>
      <c r="Q98" s="221">
        <f t="shared" si="8"/>
        <v>29886.436000000002</v>
      </c>
      <c r="R98" s="221"/>
      <c r="S98" s="149"/>
      <c r="T98" s="149"/>
    </row>
    <row r="99" spans="1:21" x14ac:dyDescent="0.25">
      <c r="A99" s="296">
        <v>86.523809523811593</v>
      </c>
      <c r="B99" s="107" t="s">
        <v>241</v>
      </c>
      <c r="C99" s="153" t="s">
        <v>271</v>
      </c>
      <c r="D99" s="216">
        <v>10212</v>
      </c>
      <c r="E99" s="216">
        <v>1900</v>
      </c>
      <c r="F99" s="216">
        <v>4000</v>
      </c>
      <c r="G99" s="216"/>
      <c r="H99" s="216"/>
      <c r="I99" s="216"/>
      <c r="J99" s="216"/>
      <c r="K99" s="216"/>
      <c r="L99" s="216">
        <v>127</v>
      </c>
      <c r="M99" s="216"/>
      <c r="N99" s="216"/>
      <c r="O99" s="216"/>
      <c r="P99" s="216">
        <f>SUM(D99:O99)</f>
        <v>16239</v>
      </c>
      <c r="Q99" s="222">
        <v>13629.1</v>
      </c>
      <c r="R99" s="222"/>
      <c r="S99" s="154"/>
      <c r="T99" s="154"/>
    </row>
    <row r="100" spans="1:21" x14ac:dyDescent="0.25">
      <c r="A100" s="296">
        <v>87.666666666668803</v>
      </c>
      <c r="B100" s="107" t="s">
        <v>247</v>
      </c>
      <c r="C100" s="153" t="s">
        <v>272</v>
      </c>
      <c r="D100" s="216">
        <v>3181</v>
      </c>
      <c r="E100" s="216">
        <v>758</v>
      </c>
      <c r="F100" s="216">
        <v>26519.01</v>
      </c>
      <c r="G100" s="216"/>
      <c r="H100" s="216"/>
      <c r="I100" s="216"/>
      <c r="J100" s="216"/>
      <c r="K100" s="216"/>
      <c r="L100" s="216"/>
      <c r="M100" s="216"/>
      <c r="N100" s="216"/>
      <c r="O100" s="216"/>
      <c r="P100" s="216">
        <f>SUM(D100:O100)</f>
        <v>30458.01</v>
      </c>
      <c r="Q100" s="222">
        <v>16257.335999999999</v>
      </c>
      <c r="R100" s="222"/>
      <c r="S100" s="154"/>
      <c r="T100" s="154"/>
    </row>
    <row r="101" spans="1:21" s="152" customFormat="1" ht="15.75" x14ac:dyDescent="0.25">
      <c r="A101" s="296">
        <v>88.809523809525999</v>
      </c>
      <c r="B101" s="150"/>
      <c r="C101" s="144" t="s">
        <v>275</v>
      </c>
      <c r="D101" s="221">
        <f t="shared" ref="D101:Q101" si="9">D75+D89+D92+D95+D98</f>
        <v>351143.73</v>
      </c>
      <c r="E101" s="221">
        <f t="shared" si="9"/>
        <v>63075.248000000007</v>
      </c>
      <c r="F101" s="221">
        <f t="shared" si="9"/>
        <v>248725.177</v>
      </c>
      <c r="G101" s="221">
        <f t="shared" si="9"/>
        <v>5300</v>
      </c>
      <c r="H101" s="221">
        <f t="shared" si="9"/>
        <v>21834.1</v>
      </c>
      <c r="I101" s="221">
        <f t="shared" si="9"/>
        <v>22284.203000000001</v>
      </c>
      <c r="J101" s="221">
        <f t="shared" si="9"/>
        <v>1000</v>
      </c>
      <c r="K101" s="221">
        <f t="shared" si="9"/>
        <v>0</v>
      </c>
      <c r="L101" s="221">
        <f t="shared" si="9"/>
        <v>575368.06200000003</v>
      </c>
      <c r="M101" s="221">
        <f t="shared" si="9"/>
        <v>28041.8</v>
      </c>
      <c r="N101" s="221">
        <f t="shared" si="9"/>
        <v>31143.394999999997</v>
      </c>
      <c r="O101" s="221">
        <f t="shared" si="9"/>
        <v>15351.323</v>
      </c>
      <c r="P101" s="221">
        <f t="shared" si="9"/>
        <v>1363267.0379999999</v>
      </c>
      <c r="Q101" s="221">
        <f t="shared" si="9"/>
        <v>323543.43599999999</v>
      </c>
      <c r="R101" s="221"/>
      <c r="S101" s="155"/>
      <c r="T101" s="155"/>
      <c r="U101" s="190"/>
    </row>
    <row r="102" spans="1:21" s="152" customFormat="1" ht="15.75" x14ac:dyDescent="0.25">
      <c r="A102" s="296">
        <v>89.952380952383194</v>
      </c>
      <c r="B102" s="150"/>
      <c r="C102" s="144"/>
      <c r="D102" s="221"/>
      <c r="E102" s="221"/>
      <c r="F102" s="221"/>
      <c r="G102" s="221"/>
      <c r="H102" s="221"/>
      <c r="I102" s="221"/>
      <c r="J102" s="221"/>
      <c r="K102" s="221"/>
      <c r="L102" s="221"/>
      <c r="M102" s="221"/>
      <c r="N102" s="221"/>
      <c r="O102" s="221"/>
      <c r="P102" s="221"/>
      <c r="Q102" s="215"/>
      <c r="R102" s="215"/>
      <c r="S102" s="149"/>
      <c r="T102" s="149"/>
      <c r="U102" s="190"/>
    </row>
    <row r="103" spans="1:21" x14ac:dyDescent="0.25">
      <c r="A103" s="296">
        <v>91.095238095240404</v>
      </c>
      <c r="B103" s="148"/>
      <c r="C103" s="148" t="s">
        <v>276</v>
      </c>
      <c r="D103" s="219">
        <f>D87+D90+D93+D96+D99</f>
        <v>263738.98600000003</v>
      </c>
      <c r="E103" s="219">
        <f t="shared" ref="E103:Q103" si="10">E87+E90+E93+E96+E99</f>
        <v>44970.728000000003</v>
      </c>
      <c r="F103" s="219">
        <f t="shared" si="10"/>
        <v>130777.272</v>
      </c>
      <c r="G103" s="219">
        <f t="shared" si="10"/>
        <v>2000</v>
      </c>
      <c r="H103" s="219">
        <f t="shared" si="10"/>
        <v>16108.1</v>
      </c>
      <c r="I103" s="219">
        <f t="shared" si="10"/>
        <v>2903</v>
      </c>
      <c r="J103" s="219">
        <f t="shared" si="10"/>
        <v>1000</v>
      </c>
      <c r="K103" s="219">
        <f t="shared" si="10"/>
        <v>0</v>
      </c>
      <c r="L103" s="219">
        <f t="shared" si="10"/>
        <v>6613.18</v>
      </c>
      <c r="M103" s="219">
        <f t="shared" si="10"/>
        <v>1300.7</v>
      </c>
      <c r="N103" s="219">
        <f t="shared" si="10"/>
        <v>0</v>
      </c>
      <c r="O103" s="219">
        <f t="shared" si="10"/>
        <v>15351.323</v>
      </c>
      <c r="P103" s="219">
        <f t="shared" si="10"/>
        <v>484763.28900000005</v>
      </c>
      <c r="Q103" s="219">
        <f t="shared" si="10"/>
        <v>238564.09999999998</v>
      </c>
      <c r="R103" s="219"/>
      <c r="S103" s="156"/>
      <c r="T103" s="156"/>
      <c r="U103" s="156"/>
    </row>
    <row r="104" spans="1:21" x14ac:dyDescent="0.25">
      <c r="A104" s="296">
        <v>92.2380952380976</v>
      </c>
      <c r="B104" s="148"/>
      <c r="C104" s="148" t="s">
        <v>345</v>
      </c>
      <c r="D104" s="219">
        <f>D91</f>
        <v>6161.8</v>
      </c>
      <c r="E104" s="219">
        <f t="shared" ref="E104:P104" si="11">E91</f>
        <v>1246.2</v>
      </c>
      <c r="F104" s="219">
        <f t="shared" si="11"/>
        <v>0</v>
      </c>
      <c r="G104" s="219">
        <f t="shared" si="11"/>
        <v>0</v>
      </c>
      <c r="H104" s="219">
        <f t="shared" si="11"/>
        <v>0</v>
      </c>
      <c r="I104" s="219">
        <f t="shared" si="11"/>
        <v>0</v>
      </c>
      <c r="J104" s="219">
        <f t="shared" si="11"/>
        <v>0</v>
      </c>
      <c r="K104" s="219">
        <f t="shared" si="11"/>
        <v>0</v>
      </c>
      <c r="L104" s="219">
        <f t="shared" si="11"/>
        <v>0</v>
      </c>
      <c r="M104" s="219">
        <f t="shared" si="11"/>
        <v>0</v>
      </c>
      <c r="N104" s="219">
        <f t="shared" si="11"/>
        <v>0</v>
      </c>
      <c r="O104" s="219">
        <f t="shared" si="11"/>
        <v>0</v>
      </c>
      <c r="P104" s="219">
        <f t="shared" si="11"/>
        <v>7408</v>
      </c>
      <c r="Q104" s="219">
        <f>Q91</f>
        <v>7408</v>
      </c>
      <c r="R104" s="223"/>
      <c r="S104" s="156"/>
      <c r="T104" s="156"/>
      <c r="U104" s="156"/>
    </row>
    <row r="105" spans="1:21" x14ac:dyDescent="0.25">
      <c r="A105" s="296">
        <v>93.380952380954795</v>
      </c>
      <c r="B105" s="148"/>
      <c r="C105" s="148" t="s">
        <v>277</v>
      </c>
      <c r="D105" s="219">
        <f>D88+D94+D97+D100</f>
        <v>81242.944000000003</v>
      </c>
      <c r="E105" s="219">
        <f t="shared" ref="E105:Q105" si="12">E88+E94+E97+E100</f>
        <v>16858.32</v>
      </c>
      <c r="F105" s="219">
        <f t="shared" si="12"/>
        <v>117947.905</v>
      </c>
      <c r="G105" s="219">
        <f t="shared" si="12"/>
        <v>3300</v>
      </c>
      <c r="H105" s="219">
        <f t="shared" si="12"/>
        <v>5726</v>
      </c>
      <c r="I105" s="219">
        <f t="shared" si="12"/>
        <v>19381.203000000001</v>
      </c>
      <c r="J105" s="219">
        <f t="shared" si="12"/>
        <v>0</v>
      </c>
      <c r="K105" s="219">
        <f t="shared" si="12"/>
        <v>0</v>
      </c>
      <c r="L105" s="219">
        <f t="shared" si="12"/>
        <v>568754.88199999998</v>
      </c>
      <c r="M105" s="219">
        <f t="shared" si="12"/>
        <v>26741.1</v>
      </c>
      <c r="N105" s="219">
        <f t="shared" si="12"/>
        <v>31143.394999999997</v>
      </c>
      <c r="O105" s="219">
        <f t="shared" si="12"/>
        <v>0</v>
      </c>
      <c r="P105" s="219">
        <f t="shared" si="12"/>
        <v>871095.74900000007</v>
      </c>
      <c r="Q105" s="219">
        <f t="shared" si="12"/>
        <v>77571.335999999996</v>
      </c>
      <c r="R105" s="223"/>
      <c r="S105" s="156"/>
      <c r="T105" s="156"/>
      <c r="U105" s="156"/>
    </row>
    <row r="106" spans="1:21" s="152" customFormat="1" x14ac:dyDescent="0.25">
      <c r="A106" s="296">
        <v>94.523809523812005</v>
      </c>
      <c r="B106" s="157"/>
      <c r="C106" s="157" t="s">
        <v>278</v>
      </c>
      <c r="D106" s="223">
        <f>SUM(D103:D105)</f>
        <v>351143.73000000004</v>
      </c>
      <c r="E106" s="223">
        <f t="shared" ref="E106:Q106" si="13">SUM(E103:E105)</f>
        <v>63075.248</v>
      </c>
      <c r="F106" s="223">
        <f t="shared" si="13"/>
        <v>248725.177</v>
      </c>
      <c r="G106" s="223">
        <f t="shared" si="13"/>
        <v>5300</v>
      </c>
      <c r="H106" s="223">
        <f t="shared" si="13"/>
        <v>21834.1</v>
      </c>
      <c r="I106" s="223">
        <f t="shared" si="13"/>
        <v>22284.203000000001</v>
      </c>
      <c r="J106" s="223">
        <f t="shared" si="13"/>
        <v>1000</v>
      </c>
      <c r="K106" s="223">
        <f t="shared" si="13"/>
        <v>0</v>
      </c>
      <c r="L106" s="223">
        <f t="shared" si="13"/>
        <v>575368.06200000003</v>
      </c>
      <c r="M106" s="223">
        <f t="shared" si="13"/>
        <v>28041.8</v>
      </c>
      <c r="N106" s="223">
        <f t="shared" si="13"/>
        <v>31143.394999999997</v>
      </c>
      <c r="O106" s="223">
        <f t="shared" si="13"/>
        <v>15351.323</v>
      </c>
      <c r="P106" s="223">
        <f>SUM(P103:P105)</f>
        <v>1363267.0380000002</v>
      </c>
      <c r="Q106" s="223">
        <f t="shared" si="13"/>
        <v>323543.43599999999</v>
      </c>
      <c r="R106" s="223">
        <f>P75+Q106</f>
        <v>1314005.9640000002</v>
      </c>
      <c r="S106" s="156"/>
      <c r="T106" s="156"/>
      <c r="U106" s="190"/>
    </row>
    <row r="107" spans="1:21" x14ac:dyDescent="0.25">
      <c r="Q107" s="297">
        <f>P75+Q101</f>
        <v>1314005.9640000002</v>
      </c>
      <c r="R107" s="158"/>
      <c r="S107" s="158"/>
      <c r="T107" s="158"/>
    </row>
    <row r="108" spans="1:21" x14ac:dyDescent="0.25">
      <c r="R108" s="158"/>
      <c r="S108" s="158"/>
      <c r="T108" s="111">
        <v>13142</v>
      </c>
    </row>
    <row r="109" spans="1:21" x14ac:dyDescent="0.25">
      <c r="R109" s="158"/>
      <c r="S109" s="158"/>
      <c r="T109" s="158"/>
    </row>
    <row r="112" spans="1:21" x14ac:dyDescent="0.25">
      <c r="L112" s="152"/>
    </row>
  </sheetData>
  <mergeCells count="2">
    <mergeCell ref="C3:R3"/>
    <mergeCell ref="N1:Q1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68" fitToHeight="2" orientation="landscape" r:id="rId1"/>
  <rowBreaks count="1" manualBreakCount="1">
    <brk id="66" max="1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4"/>
  <sheetViews>
    <sheetView view="pageLayout" zoomScaleNormal="100" zoomScaleSheetLayoutView="100" workbookViewId="0">
      <selection activeCell="M15" sqref="M15"/>
    </sheetView>
  </sheetViews>
  <sheetFormatPr defaultRowHeight="15" x14ac:dyDescent="0.25"/>
  <cols>
    <col min="1" max="1" width="6.28515625" style="115" customWidth="1"/>
    <col min="2" max="2" width="10.7109375" style="123" customWidth="1"/>
    <col min="3" max="3" width="40.7109375" style="115" customWidth="1"/>
    <col min="4" max="7" width="12.28515625" style="115" customWidth="1"/>
    <col min="8" max="8" width="10.85546875" style="115" customWidth="1"/>
    <col min="9" max="9" width="13.140625" style="115" customWidth="1"/>
    <col min="10" max="10" width="11.28515625" style="115" customWidth="1"/>
    <col min="11" max="11" width="10.140625" style="115" customWidth="1"/>
    <col min="12" max="12" width="10.85546875" style="115" customWidth="1"/>
    <col min="13" max="13" width="11.28515625" style="115" bestFit="1" customWidth="1"/>
    <col min="14" max="14" width="10.140625" style="115" hidden="1" customWidth="1"/>
    <col min="15" max="15" width="10.85546875" style="115" hidden="1" customWidth="1"/>
    <col min="16" max="16384" width="9.140625" style="115"/>
  </cols>
  <sheetData>
    <row r="1" spans="1:15" x14ac:dyDescent="0.25">
      <c r="I1" s="373" t="s">
        <v>464</v>
      </c>
      <c r="J1" s="373"/>
      <c r="K1" s="373"/>
      <c r="L1" s="373"/>
      <c r="M1" s="373"/>
    </row>
    <row r="2" spans="1:15" x14ac:dyDescent="0.25">
      <c r="A2" s="114"/>
      <c r="B2" s="82" t="s">
        <v>150</v>
      </c>
      <c r="C2" s="82" t="s">
        <v>172</v>
      </c>
      <c r="D2" s="82" t="s">
        <v>151</v>
      </c>
      <c r="E2" s="82" t="s">
        <v>152</v>
      </c>
      <c r="F2" s="82" t="s">
        <v>153</v>
      </c>
      <c r="G2" s="82" t="s">
        <v>193</v>
      </c>
      <c r="H2" s="82" t="s">
        <v>229</v>
      </c>
      <c r="I2" s="82" t="s">
        <v>230</v>
      </c>
      <c r="J2" s="82" t="s">
        <v>231</v>
      </c>
      <c r="K2" s="82" t="s">
        <v>232</v>
      </c>
      <c r="L2" s="82" t="s">
        <v>306</v>
      </c>
      <c r="M2" s="82" t="s">
        <v>289</v>
      </c>
    </row>
    <row r="3" spans="1:15" ht="48" customHeight="1" x14ac:dyDescent="0.25">
      <c r="A3" s="82">
        <v>1</v>
      </c>
      <c r="B3" s="82"/>
      <c r="C3" s="371" t="s">
        <v>465</v>
      </c>
      <c r="D3" s="372"/>
      <c r="E3" s="372"/>
      <c r="F3" s="372"/>
      <c r="G3" s="372"/>
      <c r="H3" s="372"/>
      <c r="I3" s="372"/>
      <c r="J3" s="372"/>
      <c r="K3" s="372"/>
      <c r="L3" s="372"/>
      <c r="M3" s="372"/>
    </row>
    <row r="4" spans="1:15" ht="57.75" customHeight="1" x14ac:dyDescent="0.25">
      <c r="A4" s="82">
        <v>2</v>
      </c>
      <c r="B4" s="116" t="s">
        <v>327</v>
      </c>
      <c r="C4" s="117" t="s">
        <v>234</v>
      </c>
      <c r="D4" s="118" t="s">
        <v>92</v>
      </c>
      <c r="E4" s="118" t="s">
        <v>309</v>
      </c>
      <c r="F4" s="118" t="s">
        <v>94</v>
      </c>
      <c r="G4" s="118" t="s">
        <v>310</v>
      </c>
      <c r="H4" s="118" t="s">
        <v>96</v>
      </c>
      <c r="I4" s="118" t="s">
        <v>110</v>
      </c>
      <c r="J4" s="118" t="s">
        <v>113</v>
      </c>
      <c r="K4" s="118" t="s">
        <v>313</v>
      </c>
      <c r="L4" s="118" t="s">
        <v>314</v>
      </c>
      <c r="M4" s="119" t="s">
        <v>275</v>
      </c>
    </row>
    <row r="5" spans="1:15" ht="45" x14ac:dyDescent="0.25">
      <c r="A5" s="82">
        <v>3</v>
      </c>
      <c r="B5" s="116"/>
      <c r="C5" s="117" t="s">
        <v>283</v>
      </c>
      <c r="D5" s="71" t="s">
        <v>502</v>
      </c>
      <c r="E5" s="71" t="s">
        <v>502</v>
      </c>
      <c r="F5" s="71" t="s">
        <v>502</v>
      </c>
      <c r="G5" s="71" t="s">
        <v>502</v>
      </c>
      <c r="H5" s="71" t="s">
        <v>502</v>
      </c>
      <c r="I5" s="71" t="s">
        <v>502</v>
      </c>
      <c r="J5" s="71" t="s">
        <v>502</v>
      </c>
      <c r="K5" s="71" t="s">
        <v>502</v>
      </c>
      <c r="L5" s="120" t="s">
        <v>453</v>
      </c>
      <c r="M5" s="120" t="s">
        <v>453</v>
      </c>
      <c r="N5" s="73" t="s">
        <v>284</v>
      </c>
      <c r="O5" s="74" t="s">
        <v>329</v>
      </c>
    </row>
    <row r="6" spans="1:15" x14ac:dyDescent="0.25">
      <c r="A6" s="82">
        <v>4</v>
      </c>
      <c r="B6" s="82" t="s">
        <v>351</v>
      </c>
      <c r="C6" s="84" t="s">
        <v>345</v>
      </c>
      <c r="D6" s="225">
        <v>6161.8</v>
      </c>
      <c r="E6" s="225">
        <v>1246.2</v>
      </c>
      <c r="F6" s="225"/>
      <c r="G6" s="238"/>
      <c r="H6" s="228"/>
      <c r="I6" s="228"/>
      <c r="J6" s="228"/>
      <c r="K6" s="228"/>
      <c r="L6" s="238"/>
      <c r="M6" s="239">
        <f>D6+E6+F6+G6+H6+I6+J6+K6+L6</f>
        <v>7408</v>
      </c>
      <c r="N6" s="114">
        <v>17442</v>
      </c>
      <c r="O6" s="114">
        <v>17806</v>
      </c>
    </row>
    <row r="7" spans="1:15" x14ac:dyDescent="0.25">
      <c r="A7" s="82">
        <v>5</v>
      </c>
      <c r="B7" s="82" t="s">
        <v>241</v>
      </c>
      <c r="C7" s="84" t="s">
        <v>286</v>
      </c>
      <c r="D7" s="225">
        <f>59730-6161.8</f>
        <v>53568.2</v>
      </c>
      <c r="E7" s="225">
        <f>11800-1246.2</f>
        <v>10553.8</v>
      </c>
      <c r="F7" s="225">
        <v>9460</v>
      </c>
      <c r="G7" s="238"/>
      <c r="H7" s="228"/>
      <c r="I7" s="228">
        <f>44.4+47+31+27</f>
        <v>149.4</v>
      </c>
      <c r="J7" s="228"/>
      <c r="K7" s="228"/>
      <c r="L7" s="238"/>
      <c r="M7" s="239">
        <f>D7+E7+F7+G7+H7+I7+J7+K7+L7</f>
        <v>73731.399999999994</v>
      </c>
      <c r="N7" s="114">
        <v>83096</v>
      </c>
      <c r="O7" s="114">
        <v>81204</v>
      </c>
    </row>
    <row r="8" spans="1:15" ht="15.75" x14ac:dyDescent="0.25">
      <c r="A8" s="82">
        <v>6</v>
      </c>
      <c r="B8" s="82"/>
      <c r="C8" s="117" t="s">
        <v>287</v>
      </c>
      <c r="D8" s="239">
        <f t="shared" ref="D8:O8" si="0">SUM(D6:D7)</f>
        <v>59730</v>
      </c>
      <c r="E8" s="239">
        <f t="shared" si="0"/>
        <v>11800</v>
      </c>
      <c r="F8" s="239">
        <f t="shared" si="0"/>
        <v>9460</v>
      </c>
      <c r="G8" s="239">
        <f t="shared" si="0"/>
        <v>0</v>
      </c>
      <c r="H8" s="239">
        <f t="shared" si="0"/>
        <v>0</v>
      </c>
      <c r="I8" s="239">
        <f t="shared" si="0"/>
        <v>149.4</v>
      </c>
      <c r="J8" s="239">
        <f t="shared" si="0"/>
        <v>0</v>
      </c>
      <c r="K8" s="239">
        <f t="shared" si="0"/>
        <v>0</v>
      </c>
      <c r="L8" s="239">
        <f t="shared" si="0"/>
        <v>0</v>
      </c>
      <c r="M8" s="239">
        <f t="shared" si="0"/>
        <v>81139.399999999994</v>
      </c>
      <c r="N8" s="121">
        <f t="shared" si="0"/>
        <v>100538</v>
      </c>
      <c r="O8" s="121">
        <f t="shared" si="0"/>
        <v>99010</v>
      </c>
    </row>
    <row r="9" spans="1:15" x14ac:dyDescent="0.25">
      <c r="A9" s="82">
        <v>7</v>
      </c>
      <c r="B9" s="82"/>
      <c r="C9" s="114" t="s">
        <v>271</v>
      </c>
      <c r="D9" s="240">
        <f t="shared" ref="D9:M9" si="1">SUMIF($B6:$B7,"kötelező",D6:D7)</f>
        <v>53568.2</v>
      </c>
      <c r="E9" s="240">
        <f t="shared" si="1"/>
        <v>10553.8</v>
      </c>
      <c r="F9" s="240">
        <f t="shared" si="1"/>
        <v>9460</v>
      </c>
      <c r="G9" s="240">
        <f t="shared" si="1"/>
        <v>0</v>
      </c>
      <c r="H9" s="240">
        <f t="shared" si="1"/>
        <v>0</v>
      </c>
      <c r="I9" s="240">
        <f t="shared" si="1"/>
        <v>149.4</v>
      </c>
      <c r="J9" s="240">
        <f t="shared" si="1"/>
        <v>0</v>
      </c>
      <c r="K9" s="240">
        <f t="shared" si="1"/>
        <v>0</v>
      </c>
      <c r="L9" s="240">
        <f t="shared" si="1"/>
        <v>0</v>
      </c>
      <c r="M9" s="240">
        <f t="shared" si="1"/>
        <v>73731.399999999994</v>
      </c>
      <c r="N9" s="114"/>
      <c r="O9" s="114"/>
    </row>
    <row r="10" spans="1:15" x14ac:dyDescent="0.25">
      <c r="A10" s="82">
        <v>8</v>
      </c>
      <c r="B10" s="82"/>
      <c r="C10" s="114" t="s">
        <v>345</v>
      </c>
      <c r="D10" s="240">
        <f>SUMIF($B6:$B7,"államigazg",D6:D7)</f>
        <v>6161.8</v>
      </c>
      <c r="E10" s="240">
        <f t="shared" ref="E10:M10" si="2">SUMIF($B6:$B7,"államigazg",E6:E7)</f>
        <v>1246.2</v>
      </c>
      <c r="F10" s="240">
        <f t="shared" si="2"/>
        <v>0</v>
      </c>
      <c r="G10" s="240">
        <f t="shared" si="2"/>
        <v>0</v>
      </c>
      <c r="H10" s="240">
        <f t="shared" si="2"/>
        <v>0</v>
      </c>
      <c r="I10" s="240">
        <f t="shared" si="2"/>
        <v>0</v>
      </c>
      <c r="J10" s="240">
        <f t="shared" si="2"/>
        <v>0</v>
      </c>
      <c r="K10" s="240">
        <f t="shared" si="2"/>
        <v>0</v>
      </c>
      <c r="L10" s="240">
        <f t="shared" si="2"/>
        <v>0</v>
      </c>
      <c r="M10" s="240">
        <f t="shared" si="2"/>
        <v>7408</v>
      </c>
      <c r="N10" s="114"/>
      <c r="O10" s="114"/>
    </row>
    <row r="11" spans="1:15" x14ac:dyDescent="0.25">
      <c r="A11" s="82">
        <v>9</v>
      </c>
      <c r="B11" s="82"/>
      <c r="C11" s="114" t="s">
        <v>330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22">
        <v>17</v>
      </c>
      <c r="N11" s="114"/>
      <c r="O11" s="114"/>
    </row>
    <row r="12" spans="1:15" x14ac:dyDescent="0.25">
      <c r="A12" s="82">
        <v>10</v>
      </c>
      <c r="B12" s="82"/>
      <c r="C12" s="114" t="s">
        <v>331</v>
      </c>
      <c r="D12" s="114"/>
      <c r="E12" s="114"/>
      <c r="F12" s="114"/>
      <c r="G12" s="114"/>
      <c r="H12" s="114"/>
      <c r="I12" s="114"/>
      <c r="J12" s="114"/>
      <c r="K12" s="114"/>
      <c r="L12" s="114"/>
      <c r="M12" s="114">
        <v>0</v>
      </c>
      <c r="N12" s="114"/>
      <c r="O12" s="114"/>
    </row>
    <row r="13" spans="1:15" x14ac:dyDescent="0.25">
      <c r="A13" s="82">
        <v>11</v>
      </c>
      <c r="B13" s="82"/>
      <c r="C13" s="114" t="s">
        <v>590</v>
      </c>
      <c r="D13" s="114"/>
      <c r="E13" s="114"/>
      <c r="F13" s="114"/>
      <c r="G13" s="114"/>
      <c r="H13" s="114"/>
      <c r="I13" s="114"/>
      <c r="J13" s="114"/>
      <c r="K13" s="114"/>
      <c r="L13" s="114"/>
      <c r="M13" s="114">
        <v>16</v>
      </c>
    </row>
    <row r="14" spans="1:15" x14ac:dyDescent="0.25">
      <c r="A14" s="82">
        <v>12</v>
      </c>
      <c r="B14" s="82"/>
      <c r="C14" s="114" t="s">
        <v>591</v>
      </c>
      <c r="D14" s="114"/>
      <c r="E14" s="114"/>
      <c r="F14" s="114"/>
      <c r="G14" s="114"/>
      <c r="H14" s="114"/>
      <c r="I14" s="114"/>
      <c r="J14" s="114"/>
      <c r="K14" s="114"/>
      <c r="L14" s="114"/>
      <c r="M14" s="114">
        <v>1</v>
      </c>
    </row>
  </sheetData>
  <mergeCells count="2">
    <mergeCell ref="C3:M3"/>
    <mergeCell ref="I1:M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20"/>
  <sheetViews>
    <sheetView view="pageBreakPreview" topLeftCell="A4" zoomScaleNormal="100" zoomScaleSheetLayoutView="100" workbookViewId="0">
      <selection activeCell="P20" sqref="P20"/>
    </sheetView>
  </sheetViews>
  <sheetFormatPr defaultRowHeight="15" x14ac:dyDescent="0.25"/>
  <cols>
    <col min="1" max="1" width="5.5703125" style="103" customWidth="1"/>
    <col min="2" max="2" width="14" style="132" customWidth="1"/>
    <col min="3" max="3" width="29.28515625" style="103" customWidth="1"/>
    <col min="4" max="8" width="12.28515625" style="103" customWidth="1"/>
    <col min="9" max="9" width="14.28515625" style="103" customWidth="1"/>
    <col min="10" max="13" width="12.28515625" style="103" customWidth="1"/>
    <col min="14" max="14" width="11.85546875" style="124" hidden="1" customWidth="1"/>
    <col min="15" max="15" width="12" style="103" hidden="1" customWidth="1"/>
    <col min="16" max="16" width="15.28515625" style="103" customWidth="1"/>
    <col min="17" max="16384" width="9.140625" style="103"/>
  </cols>
  <sheetData>
    <row r="1" spans="1:16" x14ac:dyDescent="0.25">
      <c r="J1" s="376" t="s">
        <v>466</v>
      </c>
      <c r="K1" s="376"/>
      <c r="L1" s="376"/>
      <c r="M1" s="376"/>
    </row>
    <row r="2" spans="1:16" x14ac:dyDescent="0.25">
      <c r="A2" s="102"/>
      <c r="B2" s="102" t="s">
        <v>150</v>
      </c>
      <c r="C2" s="102" t="s">
        <v>172</v>
      </c>
      <c r="D2" s="102" t="s">
        <v>151</v>
      </c>
      <c r="E2" s="102" t="s">
        <v>152</v>
      </c>
      <c r="F2" s="102" t="s">
        <v>153</v>
      </c>
      <c r="G2" s="102" t="s">
        <v>193</v>
      </c>
      <c r="H2" s="102" t="s">
        <v>229</v>
      </c>
      <c r="I2" s="102" t="s">
        <v>230</v>
      </c>
      <c r="J2" s="102" t="s">
        <v>231</v>
      </c>
      <c r="K2" s="102" t="s">
        <v>232</v>
      </c>
      <c r="L2" s="102" t="s">
        <v>306</v>
      </c>
      <c r="M2" s="102" t="s">
        <v>289</v>
      </c>
    </row>
    <row r="3" spans="1:16" ht="54" customHeight="1" x14ac:dyDescent="0.25">
      <c r="A3" s="102">
        <v>1</v>
      </c>
      <c r="B3" s="125"/>
      <c r="C3" s="374" t="s">
        <v>467</v>
      </c>
      <c r="D3" s="375"/>
      <c r="E3" s="375"/>
      <c r="F3" s="375"/>
      <c r="G3" s="375"/>
      <c r="H3" s="375"/>
      <c r="I3" s="375"/>
      <c r="J3" s="375"/>
      <c r="K3" s="375"/>
      <c r="L3" s="375"/>
      <c r="M3" s="375"/>
    </row>
    <row r="4" spans="1:16" ht="93" customHeight="1" x14ac:dyDescent="0.25">
      <c r="A4" s="102">
        <v>2</v>
      </c>
      <c r="B4" s="104" t="s">
        <v>292</v>
      </c>
      <c r="C4" s="105" t="s">
        <v>234</v>
      </c>
      <c r="D4" s="118" t="s">
        <v>92</v>
      </c>
      <c r="E4" s="118" t="s">
        <v>309</v>
      </c>
      <c r="F4" s="118" t="s">
        <v>94</v>
      </c>
      <c r="G4" s="118" t="s">
        <v>310</v>
      </c>
      <c r="H4" s="118" t="s">
        <v>350</v>
      </c>
      <c r="I4" s="118" t="s">
        <v>110</v>
      </c>
      <c r="J4" s="118" t="s">
        <v>113</v>
      </c>
      <c r="K4" s="118" t="s">
        <v>313</v>
      </c>
      <c r="L4" s="118" t="s">
        <v>328</v>
      </c>
      <c r="M4" s="126" t="s">
        <v>275</v>
      </c>
      <c r="P4" s="342" t="s">
        <v>592</v>
      </c>
    </row>
    <row r="5" spans="1:16" ht="30" x14ac:dyDescent="0.25">
      <c r="A5" s="102">
        <v>3</v>
      </c>
      <c r="B5" s="125"/>
      <c r="C5" s="105" t="s">
        <v>283</v>
      </c>
      <c r="D5" s="71" t="s">
        <v>502</v>
      </c>
      <c r="E5" s="71" t="s">
        <v>502</v>
      </c>
      <c r="F5" s="71" t="s">
        <v>502</v>
      </c>
      <c r="G5" s="71" t="s">
        <v>502</v>
      </c>
      <c r="H5" s="71" t="s">
        <v>502</v>
      </c>
      <c r="I5" s="71" t="s">
        <v>502</v>
      </c>
      <c r="J5" s="71" t="s">
        <v>502</v>
      </c>
      <c r="K5" s="71" t="s">
        <v>502</v>
      </c>
      <c r="L5" s="106" t="s">
        <v>453</v>
      </c>
      <c r="M5" s="106" t="s">
        <v>453</v>
      </c>
      <c r="N5" s="73" t="s">
        <v>284</v>
      </c>
      <c r="O5" s="340" t="s">
        <v>332</v>
      </c>
      <c r="P5" s="342" t="s">
        <v>593</v>
      </c>
    </row>
    <row r="6" spans="1:16" x14ac:dyDescent="0.25">
      <c r="A6" s="102">
        <v>4</v>
      </c>
      <c r="B6" s="125" t="s">
        <v>241</v>
      </c>
      <c r="C6" s="127" t="s">
        <v>295</v>
      </c>
      <c r="D6" s="224">
        <v>120</v>
      </c>
      <c r="E6" s="224">
        <v>34</v>
      </c>
      <c r="F6" s="225">
        <v>455</v>
      </c>
      <c r="G6" s="224"/>
      <c r="H6" s="224"/>
      <c r="I6" s="224">
        <f>1440+300</f>
        <v>1740</v>
      </c>
      <c r="J6" s="224"/>
      <c r="K6" s="224"/>
      <c r="L6" s="224"/>
      <c r="M6" s="226">
        <f>L6+K6+J6+I6+H6+G6+F6+E6+D6</f>
        <v>2349</v>
      </c>
      <c r="N6" s="130">
        <v>11317</v>
      </c>
      <c r="O6" s="341">
        <v>10318</v>
      </c>
      <c r="P6" s="343">
        <v>0</v>
      </c>
    </row>
    <row r="7" spans="1:16" x14ac:dyDescent="0.25">
      <c r="A7" s="102">
        <v>6</v>
      </c>
      <c r="B7" s="125" t="s">
        <v>241</v>
      </c>
      <c r="C7" s="127" t="s">
        <v>296</v>
      </c>
      <c r="D7" s="224"/>
      <c r="E7" s="224">
        <v>1.5</v>
      </c>
      <c r="F7" s="224">
        <v>270</v>
      </c>
      <c r="G7" s="224"/>
      <c r="H7" s="224"/>
      <c r="I7" s="224"/>
      <c r="J7" s="224"/>
      <c r="K7" s="224"/>
      <c r="L7" s="224"/>
      <c r="M7" s="226">
        <f t="shared" ref="M7:M15" si="0">L7+K7+J7+I7+H7+G7+F7+E7+D7</f>
        <v>271.5</v>
      </c>
      <c r="N7" s="130">
        <v>173</v>
      </c>
      <c r="O7" s="341">
        <v>211</v>
      </c>
      <c r="P7" s="343">
        <v>0</v>
      </c>
    </row>
    <row r="8" spans="1:16" x14ac:dyDescent="0.25">
      <c r="A8" s="102">
        <v>7</v>
      </c>
      <c r="B8" s="125" t="s">
        <v>247</v>
      </c>
      <c r="C8" s="127" t="s">
        <v>297</v>
      </c>
      <c r="D8" s="224">
        <v>696</v>
      </c>
      <c r="E8" s="224">
        <v>122.5</v>
      </c>
      <c r="F8" s="224">
        <v>240</v>
      </c>
      <c r="G8" s="224"/>
      <c r="H8" s="224"/>
      <c r="I8" s="224"/>
      <c r="J8" s="224"/>
      <c r="K8" s="224"/>
      <c r="L8" s="224"/>
      <c r="M8" s="226">
        <f t="shared" si="0"/>
        <v>1058.5</v>
      </c>
      <c r="N8" s="130">
        <v>3044</v>
      </c>
      <c r="O8" s="341">
        <v>2528</v>
      </c>
      <c r="P8" s="344" t="s">
        <v>595</v>
      </c>
    </row>
    <row r="9" spans="1:16" x14ac:dyDescent="0.25">
      <c r="A9" s="102">
        <v>8</v>
      </c>
      <c r="B9" s="125" t="s">
        <v>241</v>
      </c>
      <c r="C9" s="127" t="s">
        <v>298</v>
      </c>
      <c r="D9" s="224">
        <v>7096.8</v>
      </c>
      <c r="E9" s="224">
        <v>1340</v>
      </c>
      <c r="F9" s="224">
        <v>1728</v>
      </c>
      <c r="G9" s="224"/>
      <c r="H9" s="224"/>
      <c r="I9" s="224"/>
      <c r="J9" s="224"/>
      <c r="K9" s="224"/>
      <c r="L9" s="224"/>
      <c r="M9" s="226">
        <f t="shared" si="0"/>
        <v>10164.799999999999</v>
      </c>
      <c r="N9" s="130">
        <v>6614</v>
      </c>
      <c r="O9" s="341">
        <v>6801</v>
      </c>
      <c r="P9" s="343">
        <v>2</v>
      </c>
    </row>
    <row r="10" spans="1:16" x14ac:dyDescent="0.25">
      <c r="A10" s="102">
        <v>9</v>
      </c>
      <c r="B10" s="125" t="s">
        <v>241</v>
      </c>
      <c r="C10" s="127" t="s">
        <v>299</v>
      </c>
      <c r="D10" s="224"/>
      <c r="E10" s="224"/>
      <c r="F10" s="224">
        <v>600</v>
      </c>
      <c r="G10" s="224"/>
      <c r="H10" s="224"/>
      <c r="I10" s="224"/>
      <c r="J10" s="224"/>
      <c r="K10" s="224"/>
      <c r="L10" s="224"/>
      <c r="M10" s="226">
        <f t="shared" si="0"/>
        <v>600</v>
      </c>
      <c r="N10" s="130">
        <v>480</v>
      </c>
      <c r="O10" s="341">
        <v>480</v>
      </c>
      <c r="P10" s="343">
        <v>0</v>
      </c>
    </row>
    <row r="11" spans="1:16" x14ac:dyDescent="0.25">
      <c r="A11" s="102">
        <v>10</v>
      </c>
      <c r="B11" s="125" t="s">
        <v>247</v>
      </c>
      <c r="C11" s="127" t="s">
        <v>333</v>
      </c>
      <c r="D11" s="224">
        <f>50697+1971</f>
        <v>52668</v>
      </c>
      <c r="E11" s="224">
        <f>9783+384.5</f>
        <v>10167.5</v>
      </c>
      <c r="F11" s="224">
        <v>24850</v>
      </c>
      <c r="G11" s="224"/>
      <c r="H11" s="224"/>
      <c r="I11" s="224">
        <v>300</v>
      </c>
      <c r="J11" s="224"/>
      <c r="K11" s="224"/>
      <c r="L11" s="224"/>
      <c r="M11" s="226">
        <f t="shared" si="0"/>
        <v>87985.5</v>
      </c>
      <c r="N11" s="130">
        <v>63126</v>
      </c>
      <c r="O11" s="341">
        <f>58896+3200</f>
        <v>62096</v>
      </c>
      <c r="P11" s="343" t="s">
        <v>594</v>
      </c>
    </row>
    <row r="12" spans="1:16" x14ac:dyDescent="0.25">
      <c r="A12" s="102">
        <v>11</v>
      </c>
      <c r="B12" s="125" t="s">
        <v>241</v>
      </c>
      <c r="C12" s="127" t="s">
        <v>301</v>
      </c>
      <c r="D12" s="224">
        <v>7176.1</v>
      </c>
      <c r="E12" s="224">
        <v>1388</v>
      </c>
      <c r="F12" s="224">
        <f>2500+300</f>
        <v>2800</v>
      </c>
      <c r="G12" s="224"/>
      <c r="H12" s="224"/>
      <c r="I12" s="224"/>
      <c r="J12" s="224"/>
      <c r="K12" s="224"/>
      <c r="L12" s="224"/>
      <c r="M12" s="226">
        <f t="shared" si="0"/>
        <v>11364.1</v>
      </c>
      <c r="N12" s="130">
        <v>9158</v>
      </c>
      <c r="O12" s="341">
        <v>8953</v>
      </c>
      <c r="P12" s="343">
        <v>3</v>
      </c>
    </row>
    <row r="13" spans="1:16" x14ac:dyDescent="0.25">
      <c r="A13" s="102">
        <v>12</v>
      </c>
      <c r="B13" s="125" t="s">
        <v>241</v>
      </c>
      <c r="C13" s="127" t="s">
        <v>387</v>
      </c>
      <c r="D13" s="224">
        <v>7413</v>
      </c>
      <c r="E13" s="224">
        <v>1410</v>
      </c>
      <c r="F13" s="224">
        <v>600</v>
      </c>
      <c r="G13" s="224"/>
      <c r="H13" s="224"/>
      <c r="I13" s="224"/>
      <c r="J13" s="224"/>
      <c r="K13" s="224"/>
      <c r="L13" s="224"/>
      <c r="M13" s="226">
        <f t="shared" si="0"/>
        <v>9423</v>
      </c>
      <c r="N13" s="130">
        <v>2424</v>
      </c>
      <c r="O13" s="341">
        <v>2678</v>
      </c>
      <c r="P13" s="343">
        <v>3</v>
      </c>
    </row>
    <row r="14" spans="1:16" x14ac:dyDescent="0.25">
      <c r="A14" s="102">
        <v>13</v>
      </c>
      <c r="B14" s="125" t="s">
        <v>241</v>
      </c>
      <c r="C14" s="127" t="s">
        <v>302</v>
      </c>
      <c r="D14" s="224">
        <v>3757</v>
      </c>
      <c r="E14" s="224">
        <v>733</v>
      </c>
      <c r="F14" s="224">
        <v>6705</v>
      </c>
      <c r="G14" s="224"/>
      <c r="H14" s="224"/>
      <c r="I14" s="224">
        <v>140</v>
      </c>
      <c r="J14" s="224"/>
      <c r="K14" s="224"/>
      <c r="L14" s="224"/>
      <c r="M14" s="226">
        <f t="shared" si="0"/>
        <v>11335</v>
      </c>
      <c r="N14" s="130">
        <v>15074</v>
      </c>
      <c r="O14" s="341">
        <v>15183</v>
      </c>
      <c r="P14" s="343" t="s">
        <v>597</v>
      </c>
    </row>
    <row r="15" spans="1:16" x14ac:dyDescent="0.25">
      <c r="A15" s="102">
        <v>14</v>
      </c>
      <c r="B15" s="125" t="s">
        <v>241</v>
      </c>
      <c r="C15" s="127" t="s">
        <v>303</v>
      </c>
      <c r="D15" s="224">
        <v>8592</v>
      </c>
      <c r="E15" s="224">
        <v>1662</v>
      </c>
      <c r="F15" s="224">
        <v>205</v>
      </c>
      <c r="G15" s="224"/>
      <c r="H15" s="224"/>
      <c r="I15" s="224">
        <v>280</v>
      </c>
      <c r="J15" s="224"/>
      <c r="K15" s="224"/>
      <c r="L15" s="224"/>
      <c r="M15" s="226">
        <f t="shared" si="0"/>
        <v>10739</v>
      </c>
      <c r="N15" s="130">
        <v>6981</v>
      </c>
      <c r="O15" s="341">
        <v>7395</v>
      </c>
      <c r="P15" s="343" t="s">
        <v>596</v>
      </c>
    </row>
    <row r="16" spans="1:16" x14ac:dyDescent="0.25">
      <c r="A16" s="102">
        <v>18</v>
      </c>
      <c r="B16" s="125"/>
      <c r="C16" s="126" t="s">
        <v>287</v>
      </c>
      <c r="D16" s="226">
        <f t="shared" ref="D16:O16" si="1">SUM(D6:D15)</f>
        <v>87518.900000000009</v>
      </c>
      <c r="E16" s="226">
        <f t="shared" si="1"/>
        <v>16858.5</v>
      </c>
      <c r="F16" s="226">
        <f t="shared" si="1"/>
        <v>38453</v>
      </c>
      <c r="G16" s="226">
        <f t="shared" si="1"/>
        <v>0</v>
      </c>
      <c r="H16" s="226">
        <f t="shared" si="1"/>
        <v>0</v>
      </c>
      <c r="I16" s="226">
        <f t="shared" si="1"/>
        <v>2460</v>
      </c>
      <c r="J16" s="226">
        <f t="shared" si="1"/>
        <v>0</v>
      </c>
      <c r="K16" s="226">
        <f t="shared" si="1"/>
        <v>0</v>
      </c>
      <c r="L16" s="226">
        <f t="shared" si="1"/>
        <v>0</v>
      </c>
      <c r="M16" s="226">
        <f t="shared" si="1"/>
        <v>145290.40000000002</v>
      </c>
      <c r="N16" s="131">
        <f t="shared" si="1"/>
        <v>118391</v>
      </c>
      <c r="O16" s="341">
        <f t="shared" si="1"/>
        <v>116643</v>
      </c>
      <c r="P16" s="343"/>
    </row>
    <row r="17" spans="1:16" x14ac:dyDescent="0.25">
      <c r="A17" s="102">
        <v>19</v>
      </c>
      <c r="B17" s="125"/>
      <c r="C17" s="112" t="s">
        <v>271</v>
      </c>
      <c r="D17" s="227">
        <f t="shared" ref="D17:M17" si="2">SUMIF($B6:$B15,"kötelező",D6:D15)</f>
        <v>34154.9</v>
      </c>
      <c r="E17" s="227">
        <f t="shared" si="2"/>
        <v>6568.5</v>
      </c>
      <c r="F17" s="227">
        <f t="shared" si="2"/>
        <v>13363</v>
      </c>
      <c r="G17" s="227">
        <f t="shared" si="2"/>
        <v>0</v>
      </c>
      <c r="H17" s="227">
        <f t="shared" si="2"/>
        <v>0</v>
      </c>
      <c r="I17" s="227">
        <f t="shared" si="2"/>
        <v>2160</v>
      </c>
      <c r="J17" s="227">
        <f t="shared" si="2"/>
        <v>0</v>
      </c>
      <c r="K17" s="227">
        <f t="shared" si="2"/>
        <v>0</v>
      </c>
      <c r="L17" s="227">
        <f t="shared" si="2"/>
        <v>0</v>
      </c>
      <c r="M17" s="227">
        <f t="shared" si="2"/>
        <v>56246.400000000001</v>
      </c>
      <c r="N17" s="130"/>
      <c r="P17" s="343"/>
    </row>
    <row r="18" spans="1:16" x14ac:dyDescent="0.25">
      <c r="A18" s="102">
        <v>20</v>
      </c>
      <c r="B18" s="125"/>
      <c r="C18" s="112" t="s">
        <v>272</v>
      </c>
      <c r="D18" s="227">
        <f t="shared" ref="D18:M18" si="3">SUMIF($B6:$B15,"nem kötelező",D6:D15)</f>
        <v>53364</v>
      </c>
      <c r="E18" s="227">
        <f t="shared" si="3"/>
        <v>10290</v>
      </c>
      <c r="F18" s="227">
        <f t="shared" si="3"/>
        <v>25090</v>
      </c>
      <c r="G18" s="227">
        <f t="shared" si="3"/>
        <v>0</v>
      </c>
      <c r="H18" s="227">
        <f t="shared" si="3"/>
        <v>0</v>
      </c>
      <c r="I18" s="227">
        <f t="shared" si="3"/>
        <v>300</v>
      </c>
      <c r="J18" s="227">
        <f t="shared" si="3"/>
        <v>0</v>
      </c>
      <c r="K18" s="227">
        <f t="shared" si="3"/>
        <v>0</v>
      </c>
      <c r="L18" s="227">
        <f t="shared" si="3"/>
        <v>0</v>
      </c>
      <c r="M18" s="227">
        <f t="shared" si="3"/>
        <v>89044</v>
      </c>
      <c r="N18" s="130"/>
      <c r="P18" s="343"/>
    </row>
    <row r="19" spans="1:16" x14ac:dyDescent="0.25">
      <c r="A19" s="102">
        <v>21</v>
      </c>
      <c r="B19" s="125"/>
      <c r="C19" s="112" t="s">
        <v>334</v>
      </c>
      <c r="D19" s="130"/>
      <c r="E19" s="130"/>
      <c r="F19" s="130"/>
      <c r="G19" s="130"/>
      <c r="H19" s="130"/>
      <c r="I19" s="130"/>
      <c r="J19" s="130"/>
      <c r="K19" s="130"/>
      <c r="L19" s="130"/>
      <c r="M19" s="345"/>
      <c r="N19" s="130"/>
      <c r="P19" s="346">
        <v>31</v>
      </c>
    </row>
    <row r="20" spans="1:16" x14ac:dyDescent="0.25">
      <c r="A20" s="102">
        <v>22</v>
      </c>
      <c r="B20" s="125"/>
      <c r="C20" s="112" t="s">
        <v>331</v>
      </c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P20" s="343">
        <v>0</v>
      </c>
    </row>
  </sheetData>
  <mergeCells count="2">
    <mergeCell ref="C3:M3"/>
    <mergeCell ref="J1:M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12"/>
  <sheetViews>
    <sheetView view="pageLayout" zoomScaleNormal="100" zoomScaleSheetLayoutView="100" workbookViewId="0">
      <selection activeCell="M13" sqref="M13"/>
    </sheetView>
  </sheetViews>
  <sheetFormatPr defaultRowHeight="15" x14ac:dyDescent="0.25"/>
  <cols>
    <col min="1" max="1" width="9.140625" style="103"/>
    <col min="2" max="2" width="14" style="132" customWidth="1"/>
    <col min="3" max="3" width="29.42578125" style="103" bestFit="1" customWidth="1"/>
    <col min="4" max="8" width="12.7109375" style="103" customWidth="1"/>
    <col min="9" max="9" width="14.42578125" style="103" customWidth="1"/>
    <col min="10" max="13" width="12.7109375" style="103" customWidth="1"/>
    <col min="14" max="14" width="0" style="103" hidden="1" customWidth="1"/>
    <col min="15" max="15" width="11.28515625" style="103" hidden="1" customWidth="1"/>
    <col min="16" max="16384" width="9.140625" style="103"/>
  </cols>
  <sheetData>
    <row r="1" spans="1:15" x14ac:dyDescent="0.25">
      <c r="J1" s="376" t="s">
        <v>468</v>
      </c>
      <c r="K1" s="376"/>
      <c r="L1" s="376"/>
      <c r="M1" s="376"/>
    </row>
    <row r="2" spans="1:15" x14ac:dyDescent="0.25">
      <c r="A2" s="102"/>
      <c r="B2" s="102" t="s">
        <v>150</v>
      </c>
      <c r="C2" s="102" t="s">
        <v>172</v>
      </c>
      <c r="D2" s="102" t="s">
        <v>151</v>
      </c>
      <c r="E2" s="102" t="s">
        <v>152</v>
      </c>
      <c r="F2" s="102" t="s">
        <v>153</v>
      </c>
      <c r="G2" s="102" t="s">
        <v>193</v>
      </c>
      <c r="H2" s="102" t="s">
        <v>229</v>
      </c>
      <c r="I2" s="102" t="s">
        <v>230</v>
      </c>
      <c r="J2" s="102" t="s">
        <v>231</v>
      </c>
      <c r="K2" s="102" t="s">
        <v>232</v>
      </c>
      <c r="L2" s="102" t="s">
        <v>306</v>
      </c>
      <c r="M2" s="102" t="s">
        <v>289</v>
      </c>
    </row>
    <row r="3" spans="1:15" ht="42" customHeight="1" x14ac:dyDescent="0.25">
      <c r="A3" s="102">
        <v>1</v>
      </c>
      <c r="B3" s="125"/>
      <c r="C3" s="374" t="s">
        <v>469</v>
      </c>
      <c r="D3" s="375"/>
      <c r="E3" s="375"/>
      <c r="F3" s="375"/>
      <c r="G3" s="375"/>
      <c r="H3" s="375"/>
      <c r="I3" s="375"/>
      <c r="J3" s="375"/>
      <c r="K3" s="375"/>
      <c r="L3" s="375"/>
      <c r="M3" s="375"/>
    </row>
    <row r="4" spans="1:15" ht="56.25" customHeight="1" x14ac:dyDescent="0.25">
      <c r="A4" s="102">
        <v>2</v>
      </c>
      <c r="B4" s="104" t="s">
        <v>292</v>
      </c>
      <c r="C4" s="105" t="s">
        <v>234</v>
      </c>
      <c r="D4" s="118" t="s">
        <v>92</v>
      </c>
      <c r="E4" s="118" t="s">
        <v>309</v>
      </c>
      <c r="F4" s="118" t="s">
        <v>94</v>
      </c>
      <c r="G4" s="118" t="s">
        <v>310</v>
      </c>
      <c r="H4" s="118" t="s">
        <v>96</v>
      </c>
      <c r="I4" s="118" t="s">
        <v>110</v>
      </c>
      <c r="J4" s="118" t="s">
        <v>113</v>
      </c>
      <c r="K4" s="118" t="s">
        <v>313</v>
      </c>
      <c r="L4" s="118" t="s">
        <v>328</v>
      </c>
      <c r="M4" s="126" t="s">
        <v>275</v>
      </c>
    </row>
    <row r="5" spans="1:15" ht="30" x14ac:dyDescent="0.25">
      <c r="A5" s="102">
        <v>3</v>
      </c>
      <c r="B5" s="125"/>
      <c r="C5" s="105" t="s">
        <v>283</v>
      </c>
      <c r="D5" s="71" t="s">
        <v>502</v>
      </c>
      <c r="E5" s="71" t="s">
        <v>502</v>
      </c>
      <c r="F5" s="71" t="s">
        <v>502</v>
      </c>
      <c r="G5" s="71" t="s">
        <v>502</v>
      </c>
      <c r="H5" s="71" t="s">
        <v>502</v>
      </c>
      <c r="I5" s="71" t="s">
        <v>502</v>
      </c>
      <c r="J5" s="71" t="s">
        <v>502</v>
      </c>
      <c r="K5" s="71" t="s">
        <v>502</v>
      </c>
      <c r="L5" s="71" t="s">
        <v>502</v>
      </c>
      <c r="M5" s="71" t="s">
        <v>502</v>
      </c>
      <c r="N5" s="73" t="s">
        <v>284</v>
      </c>
      <c r="O5" s="74" t="s">
        <v>335</v>
      </c>
    </row>
    <row r="6" spans="1:15" s="115" customFormat="1" x14ac:dyDescent="0.25">
      <c r="A6" s="102">
        <v>4</v>
      </c>
      <c r="B6" s="133" t="s">
        <v>241</v>
      </c>
      <c r="C6" s="84" t="s">
        <v>304</v>
      </c>
      <c r="D6" s="225">
        <v>77715.199999999997</v>
      </c>
      <c r="E6" s="225">
        <v>15078</v>
      </c>
      <c r="F6" s="225">
        <f>5094.5+345+200+200+200+50</f>
        <v>6089.5</v>
      </c>
      <c r="G6" s="225"/>
      <c r="H6" s="225"/>
      <c r="I6" s="225">
        <f>295+400+100</f>
        <v>795</v>
      </c>
      <c r="J6" s="225"/>
      <c r="K6" s="225"/>
      <c r="L6" s="225"/>
      <c r="M6" s="239">
        <f>D6+E6+F6+G6+H6+I6+J6+K6</f>
        <v>99677.7</v>
      </c>
      <c r="N6" s="114">
        <v>80901</v>
      </c>
      <c r="O6" s="114">
        <v>79617</v>
      </c>
    </row>
    <row r="7" spans="1:15" x14ac:dyDescent="0.25">
      <c r="A7" s="102">
        <v>6</v>
      </c>
      <c r="B7" s="134"/>
      <c r="C7" s="126" t="s">
        <v>287</v>
      </c>
      <c r="D7" s="226">
        <f t="shared" ref="D7:O7" si="0">SUM(D6:D6)</f>
        <v>77715.199999999997</v>
      </c>
      <c r="E7" s="226">
        <f t="shared" si="0"/>
        <v>15078</v>
      </c>
      <c r="F7" s="226">
        <f t="shared" si="0"/>
        <v>6089.5</v>
      </c>
      <c r="G7" s="226">
        <f t="shared" si="0"/>
        <v>0</v>
      </c>
      <c r="H7" s="226">
        <f t="shared" si="0"/>
        <v>0</v>
      </c>
      <c r="I7" s="226">
        <f t="shared" si="0"/>
        <v>795</v>
      </c>
      <c r="J7" s="226">
        <f t="shared" si="0"/>
        <v>0</v>
      </c>
      <c r="K7" s="226">
        <f t="shared" si="0"/>
        <v>0</v>
      </c>
      <c r="L7" s="226">
        <f t="shared" si="0"/>
        <v>0</v>
      </c>
      <c r="M7" s="226">
        <f t="shared" si="0"/>
        <v>99677.7</v>
      </c>
      <c r="N7" s="129">
        <f t="shared" si="0"/>
        <v>80901</v>
      </c>
      <c r="O7" s="129">
        <f t="shared" si="0"/>
        <v>79617</v>
      </c>
    </row>
    <row r="8" spans="1:15" x14ac:dyDescent="0.25">
      <c r="A8" s="102">
        <v>7</v>
      </c>
      <c r="B8" s="134"/>
      <c r="C8" s="113" t="s">
        <v>271</v>
      </c>
      <c r="D8" s="227">
        <f t="shared" ref="D8:M8" si="1">SUMIF($B6:$B6,"kötelező",D6:D6)</f>
        <v>77715.199999999997</v>
      </c>
      <c r="E8" s="227">
        <f t="shared" si="1"/>
        <v>15078</v>
      </c>
      <c r="F8" s="227">
        <f t="shared" si="1"/>
        <v>6089.5</v>
      </c>
      <c r="G8" s="227">
        <f t="shared" si="1"/>
        <v>0</v>
      </c>
      <c r="H8" s="227">
        <f t="shared" si="1"/>
        <v>0</v>
      </c>
      <c r="I8" s="227">
        <f t="shared" si="1"/>
        <v>795</v>
      </c>
      <c r="J8" s="227">
        <f t="shared" si="1"/>
        <v>0</v>
      </c>
      <c r="K8" s="227">
        <f t="shared" si="1"/>
        <v>0</v>
      </c>
      <c r="L8" s="227">
        <f t="shared" si="1"/>
        <v>0</v>
      </c>
      <c r="M8" s="227">
        <f t="shared" si="1"/>
        <v>99677.7</v>
      </c>
      <c r="N8" s="112"/>
      <c r="O8" s="112"/>
    </row>
    <row r="9" spans="1:15" x14ac:dyDescent="0.25">
      <c r="A9" s="102">
        <v>8</v>
      </c>
      <c r="B9" s="134"/>
      <c r="C9" s="113" t="s">
        <v>272</v>
      </c>
      <c r="D9" s="227">
        <f t="shared" ref="D9:M9" si="2">SUMIF($B6:$B6,"nem kötelező",D6:D6)</f>
        <v>0</v>
      </c>
      <c r="E9" s="227">
        <f t="shared" si="2"/>
        <v>0</v>
      </c>
      <c r="F9" s="227">
        <f t="shared" si="2"/>
        <v>0</v>
      </c>
      <c r="G9" s="227">
        <f t="shared" si="2"/>
        <v>0</v>
      </c>
      <c r="H9" s="227">
        <f t="shared" si="2"/>
        <v>0</v>
      </c>
      <c r="I9" s="227">
        <f t="shared" si="2"/>
        <v>0</v>
      </c>
      <c r="J9" s="227">
        <f t="shared" si="2"/>
        <v>0</v>
      </c>
      <c r="K9" s="227">
        <f t="shared" si="2"/>
        <v>0</v>
      </c>
      <c r="L9" s="227">
        <f t="shared" si="2"/>
        <v>0</v>
      </c>
      <c r="M9" s="227">
        <f t="shared" si="2"/>
        <v>0</v>
      </c>
      <c r="N9" s="112"/>
      <c r="O9" s="112"/>
    </row>
    <row r="10" spans="1:15" x14ac:dyDescent="0.25">
      <c r="A10" s="102">
        <v>9</v>
      </c>
      <c r="B10" s="134"/>
      <c r="C10" s="135" t="s">
        <v>336</v>
      </c>
      <c r="D10" s="128"/>
      <c r="E10" s="136"/>
      <c r="F10" s="136"/>
      <c r="G10" s="136"/>
      <c r="H10" s="136"/>
      <c r="I10" s="136"/>
      <c r="J10" s="136"/>
      <c r="K10" s="136"/>
      <c r="L10" s="136"/>
      <c r="M10" s="137">
        <v>23</v>
      </c>
      <c r="N10" s="112"/>
      <c r="O10" s="112"/>
    </row>
    <row r="11" spans="1:15" x14ac:dyDescent="0.25">
      <c r="A11" s="102">
        <v>10</v>
      </c>
      <c r="B11" s="134"/>
      <c r="C11" s="113" t="s">
        <v>331</v>
      </c>
      <c r="D11" s="128"/>
      <c r="E11" s="136"/>
      <c r="F11" s="128"/>
      <c r="G11" s="136"/>
      <c r="H11" s="136"/>
      <c r="I11" s="136"/>
      <c r="J11" s="136"/>
      <c r="K11" s="136"/>
      <c r="L11" s="136"/>
      <c r="M11" s="138">
        <v>0</v>
      </c>
      <c r="N11" s="112"/>
      <c r="O11" s="112"/>
    </row>
    <row r="12" spans="1:15" x14ac:dyDescent="0.25">
      <c r="A12" s="102">
        <v>11</v>
      </c>
      <c r="B12" s="125"/>
      <c r="C12" s="112" t="s">
        <v>599</v>
      </c>
      <c r="D12" s="112"/>
      <c r="E12" s="112"/>
      <c r="F12" s="112"/>
      <c r="G12" s="112"/>
      <c r="H12" s="112"/>
      <c r="I12" s="112"/>
      <c r="J12" s="112"/>
      <c r="K12" s="112"/>
      <c r="L12" s="112"/>
      <c r="M12" s="112">
        <v>23</v>
      </c>
    </row>
  </sheetData>
  <mergeCells count="2">
    <mergeCell ref="C3:M3"/>
    <mergeCell ref="J1:M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0"/>
  <sheetViews>
    <sheetView view="pageLayout" zoomScaleNormal="100" zoomScaleSheetLayoutView="100" workbookViewId="0">
      <selection activeCell="M18" sqref="M18:M20"/>
    </sheetView>
  </sheetViews>
  <sheetFormatPr defaultRowHeight="15" x14ac:dyDescent="0.25"/>
  <cols>
    <col min="1" max="1" width="5.5703125" style="298" customWidth="1"/>
    <col min="2" max="2" width="14" style="132" customWidth="1"/>
    <col min="3" max="3" width="29.28515625" style="103" customWidth="1"/>
    <col min="4" max="8" width="12.28515625" style="103" customWidth="1"/>
    <col min="9" max="9" width="14.28515625" style="103" customWidth="1"/>
    <col min="10" max="13" width="12.28515625" style="103" customWidth="1"/>
    <col min="14" max="14" width="11.85546875" style="124" hidden="1" customWidth="1"/>
    <col min="15" max="15" width="12" style="103" hidden="1" customWidth="1"/>
    <col min="16" max="16384" width="9.140625" style="103"/>
  </cols>
  <sheetData>
    <row r="1" spans="1:15" x14ac:dyDescent="0.25">
      <c r="J1" s="376" t="s">
        <v>470</v>
      </c>
      <c r="K1" s="376"/>
      <c r="L1" s="376"/>
      <c r="M1" s="376"/>
    </row>
    <row r="2" spans="1:15" x14ac:dyDescent="0.25">
      <c r="A2" s="299"/>
      <c r="B2" s="102" t="s">
        <v>150</v>
      </c>
      <c r="C2" s="102" t="s">
        <v>172</v>
      </c>
      <c r="D2" s="102" t="s">
        <v>151</v>
      </c>
      <c r="E2" s="102" t="s">
        <v>152</v>
      </c>
      <c r="F2" s="102" t="s">
        <v>153</v>
      </c>
      <c r="G2" s="102" t="s">
        <v>193</v>
      </c>
      <c r="H2" s="102" t="s">
        <v>229</v>
      </c>
      <c r="I2" s="102" t="s">
        <v>230</v>
      </c>
      <c r="J2" s="102" t="s">
        <v>231</v>
      </c>
      <c r="K2" s="102" t="s">
        <v>232</v>
      </c>
      <c r="L2" s="102" t="s">
        <v>306</v>
      </c>
      <c r="M2" s="102" t="s">
        <v>289</v>
      </c>
    </row>
    <row r="3" spans="1:15" ht="42.75" customHeight="1" x14ac:dyDescent="0.25">
      <c r="A3" s="299">
        <v>1</v>
      </c>
      <c r="B3" s="125"/>
      <c r="C3" s="374" t="s">
        <v>471</v>
      </c>
      <c r="D3" s="375"/>
      <c r="E3" s="375"/>
      <c r="F3" s="375"/>
      <c r="G3" s="375"/>
      <c r="H3" s="375"/>
      <c r="I3" s="375"/>
      <c r="J3" s="375"/>
      <c r="K3" s="375"/>
      <c r="L3" s="375"/>
      <c r="M3" s="375"/>
    </row>
    <row r="4" spans="1:15" ht="93" customHeight="1" x14ac:dyDescent="0.25">
      <c r="A4" s="299">
        <v>2</v>
      </c>
      <c r="B4" s="104" t="s">
        <v>292</v>
      </c>
      <c r="C4" s="105" t="s">
        <v>234</v>
      </c>
      <c r="D4" s="118" t="s">
        <v>92</v>
      </c>
      <c r="E4" s="118" t="s">
        <v>309</v>
      </c>
      <c r="F4" s="118" t="s">
        <v>94</v>
      </c>
      <c r="G4" s="118" t="s">
        <v>310</v>
      </c>
      <c r="H4" s="118" t="s">
        <v>350</v>
      </c>
      <c r="I4" s="118" t="s">
        <v>110</v>
      </c>
      <c r="J4" s="118" t="s">
        <v>113</v>
      </c>
      <c r="K4" s="118" t="s">
        <v>313</v>
      </c>
      <c r="L4" s="118" t="s">
        <v>328</v>
      </c>
      <c r="M4" s="126" t="s">
        <v>275</v>
      </c>
    </row>
    <row r="5" spans="1:15" ht="30" x14ac:dyDescent="0.25">
      <c r="A5" s="299">
        <v>3</v>
      </c>
      <c r="B5" s="125"/>
      <c r="C5" s="105" t="s">
        <v>283</v>
      </c>
      <c r="D5" s="71" t="s">
        <v>502</v>
      </c>
      <c r="E5" s="71" t="s">
        <v>502</v>
      </c>
      <c r="F5" s="71" t="s">
        <v>502</v>
      </c>
      <c r="G5" s="71" t="s">
        <v>502</v>
      </c>
      <c r="H5" s="71" t="s">
        <v>502</v>
      </c>
      <c r="I5" s="71" t="s">
        <v>502</v>
      </c>
      <c r="J5" s="71" t="s">
        <v>502</v>
      </c>
      <c r="K5" s="71" t="s">
        <v>502</v>
      </c>
      <c r="L5" s="71" t="s">
        <v>502</v>
      </c>
      <c r="M5" s="71" t="s">
        <v>502</v>
      </c>
      <c r="N5" s="73" t="s">
        <v>284</v>
      </c>
      <c r="O5" s="74" t="s">
        <v>332</v>
      </c>
    </row>
    <row r="6" spans="1:15" x14ac:dyDescent="0.25">
      <c r="A6" s="299">
        <v>4</v>
      </c>
      <c r="B6" s="125" t="s">
        <v>241</v>
      </c>
      <c r="C6" s="127" t="s">
        <v>381</v>
      </c>
      <c r="D6" s="224">
        <f>10045.1+166.9</f>
        <v>10212</v>
      </c>
      <c r="E6" s="224">
        <f>1937.9-37.9</f>
        <v>1900</v>
      </c>
      <c r="F6" s="225">
        <v>4000</v>
      </c>
      <c r="G6" s="224"/>
      <c r="H6" s="224"/>
      <c r="I6" s="224">
        <v>127</v>
      </c>
      <c r="J6" s="224"/>
      <c r="K6" s="224"/>
      <c r="L6" s="224"/>
      <c r="M6" s="325">
        <f>L6+K6+J6+I6+H6+G6+F6+E6+D6</f>
        <v>16239</v>
      </c>
      <c r="N6" s="130">
        <v>11317</v>
      </c>
      <c r="O6" s="112">
        <v>10318</v>
      </c>
    </row>
    <row r="7" spans="1:15" x14ac:dyDescent="0.25">
      <c r="A7" s="299">
        <v>6</v>
      </c>
      <c r="B7" s="125" t="s">
        <v>247</v>
      </c>
      <c r="C7" s="127" t="s">
        <v>382</v>
      </c>
      <c r="D7" s="224"/>
      <c r="E7" s="224"/>
      <c r="F7" s="224">
        <v>70</v>
      </c>
      <c r="G7" s="224"/>
      <c r="H7" s="224"/>
      <c r="I7" s="224"/>
      <c r="J7" s="224"/>
      <c r="K7" s="224"/>
      <c r="L7" s="224"/>
      <c r="M7" s="325">
        <f t="shared" ref="M7:M12" si="0">L7+K7+J7+I7+H7+G7+F7+E7+D7</f>
        <v>70</v>
      </c>
      <c r="N7" s="130">
        <v>173</v>
      </c>
      <c r="O7" s="112">
        <v>211</v>
      </c>
    </row>
    <row r="8" spans="1:15" x14ac:dyDescent="0.25">
      <c r="A8" s="299">
        <v>7</v>
      </c>
      <c r="B8" s="125" t="s">
        <v>247</v>
      </c>
      <c r="C8" s="127" t="s">
        <v>383</v>
      </c>
      <c r="D8" s="224"/>
      <c r="E8" s="224"/>
      <c r="F8" s="224">
        <v>1100</v>
      </c>
      <c r="G8" s="224"/>
      <c r="H8" s="224"/>
      <c r="I8" s="224"/>
      <c r="J8" s="224"/>
      <c r="K8" s="224"/>
      <c r="L8" s="224"/>
      <c r="M8" s="325">
        <f t="shared" si="0"/>
        <v>1100</v>
      </c>
      <c r="N8" s="130">
        <v>3044</v>
      </c>
      <c r="O8" s="112">
        <v>2528</v>
      </c>
    </row>
    <row r="9" spans="1:15" x14ac:dyDescent="0.25">
      <c r="A9" s="299">
        <v>8</v>
      </c>
      <c r="B9" s="125" t="s">
        <v>247</v>
      </c>
      <c r="C9" s="127" t="s">
        <v>384</v>
      </c>
      <c r="D9" s="224">
        <v>1000</v>
      </c>
      <c r="E9" s="224">
        <v>450</v>
      </c>
      <c r="F9" s="224">
        <f>1550-1000</f>
        <v>550</v>
      </c>
      <c r="G9" s="224"/>
      <c r="H9" s="224"/>
      <c r="I9" s="224"/>
      <c r="J9" s="224"/>
      <c r="K9" s="224"/>
      <c r="L9" s="224"/>
      <c r="M9" s="325">
        <f t="shared" si="0"/>
        <v>2000</v>
      </c>
      <c r="N9" s="130">
        <v>6614</v>
      </c>
      <c r="O9" s="112">
        <v>6801</v>
      </c>
    </row>
    <row r="10" spans="1:15" x14ac:dyDescent="0.25">
      <c r="A10" s="299">
        <v>9.4</v>
      </c>
      <c r="B10" s="125" t="s">
        <v>247</v>
      </c>
      <c r="C10" s="127" t="s">
        <v>424</v>
      </c>
      <c r="D10" s="224">
        <v>500</v>
      </c>
      <c r="E10" s="224"/>
      <c r="F10" s="224">
        <v>500</v>
      </c>
      <c r="G10" s="224"/>
      <c r="H10" s="224"/>
      <c r="I10" s="224"/>
      <c r="J10" s="224"/>
      <c r="K10" s="224"/>
      <c r="L10" s="224"/>
      <c r="M10" s="325">
        <f t="shared" si="0"/>
        <v>1000</v>
      </c>
      <c r="N10" s="130"/>
      <c r="O10" s="112"/>
    </row>
    <row r="11" spans="1:15" x14ac:dyDescent="0.25">
      <c r="A11" s="299">
        <v>10.533333333333299</v>
      </c>
      <c r="B11" s="125" t="s">
        <v>247</v>
      </c>
      <c r="C11" s="127" t="s">
        <v>425</v>
      </c>
      <c r="D11" s="224"/>
      <c r="E11" s="224"/>
      <c r="F11" s="224">
        <v>9979.01</v>
      </c>
      <c r="G11" s="224"/>
      <c r="H11" s="224"/>
      <c r="I11" s="224"/>
      <c r="J11" s="224"/>
      <c r="K11" s="224"/>
      <c r="L11" s="224"/>
      <c r="M11" s="325">
        <f t="shared" si="0"/>
        <v>9979.01</v>
      </c>
      <c r="N11" s="130"/>
      <c r="O11" s="112"/>
    </row>
    <row r="12" spans="1:15" x14ac:dyDescent="0.25">
      <c r="A12" s="299">
        <v>11.733333333333301</v>
      </c>
      <c r="B12" s="125" t="s">
        <v>247</v>
      </c>
      <c r="C12" s="127" t="s">
        <v>432</v>
      </c>
      <c r="D12" s="224">
        <v>1181</v>
      </c>
      <c r="E12" s="224">
        <v>128</v>
      </c>
      <c r="F12" s="224"/>
      <c r="G12" s="224"/>
      <c r="H12" s="224"/>
      <c r="I12" s="224"/>
      <c r="J12" s="224"/>
      <c r="K12" s="224"/>
      <c r="L12" s="224"/>
      <c r="M12" s="325">
        <f t="shared" si="0"/>
        <v>1309</v>
      </c>
      <c r="N12" s="130"/>
      <c r="O12" s="112"/>
    </row>
    <row r="13" spans="1:15" x14ac:dyDescent="0.25">
      <c r="A13" s="299">
        <v>12.9333333333333</v>
      </c>
      <c r="B13" s="125" t="s">
        <v>247</v>
      </c>
      <c r="C13" s="127" t="s">
        <v>385</v>
      </c>
      <c r="D13" s="224">
        <v>500</v>
      </c>
      <c r="E13" s="224">
        <v>180</v>
      </c>
      <c r="F13" s="224">
        <f>19320-5000</f>
        <v>14320</v>
      </c>
      <c r="G13" s="224"/>
      <c r="H13" s="224"/>
      <c r="I13" s="224"/>
      <c r="J13" s="224"/>
      <c r="K13" s="224"/>
      <c r="L13" s="224"/>
      <c r="M13" s="325">
        <f>L13+K13+J13+I13+H13+G13+F13+E13+D13</f>
        <v>15000</v>
      </c>
      <c r="N13" s="130">
        <v>480</v>
      </c>
      <c r="O13" s="112">
        <v>480</v>
      </c>
    </row>
    <row r="14" spans="1:15" x14ac:dyDescent="0.25">
      <c r="A14" s="299">
        <v>14.133333333333301</v>
      </c>
      <c r="B14" s="125"/>
      <c r="C14" s="126" t="s">
        <v>287</v>
      </c>
      <c r="D14" s="226">
        <f t="shared" ref="D14:O14" si="1">SUM(D6:D13)</f>
        <v>13393</v>
      </c>
      <c r="E14" s="226">
        <f t="shared" si="1"/>
        <v>2658</v>
      </c>
      <c r="F14" s="226">
        <f t="shared" si="1"/>
        <v>30519.010000000002</v>
      </c>
      <c r="G14" s="226">
        <f t="shared" si="1"/>
        <v>0</v>
      </c>
      <c r="H14" s="226">
        <f t="shared" si="1"/>
        <v>0</v>
      </c>
      <c r="I14" s="226">
        <f t="shared" si="1"/>
        <v>127</v>
      </c>
      <c r="J14" s="226">
        <f t="shared" si="1"/>
        <v>0</v>
      </c>
      <c r="K14" s="226">
        <f t="shared" si="1"/>
        <v>0</v>
      </c>
      <c r="L14" s="226">
        <f t="shared" si="1"/>
        <v>0</v>
      </c>
      <c r="M14" s="226">
        <f>SUM(M6:M13)</f>
        <v>46697.01</v>
      </c>
      <c r="N14" s="131">
        <f t="shared" si="1"/>
        <v>21628</v>
      </c>
      <c r="O14" s="112">
        <f t="shared" si="1"/>
        <v>20338</v>
      </c>
    </row>
    <row r="15" spans="1:15" x14ac:dyDescent="0.25">
      <c r="A15" s="299">
        <v>15.3333333333333</v>
      </c>
      <c r="B15" s="125"/>
      <c r="C15" s="112" t="s">
        <v>271</v>
      </c>
      <c r="D15" s="227">
        <f t="shared" ref="D15:M15" si="2">SUMIF($B6:$B13,"kötelező",D6:D13)</f>
        <v>10212</v>
      </c>
      <c r="E15" s="227">
        <f t="shared" si="2"/>
        <v>1900</v>
      </c>
      <c r="F15" s="227">
        <f t="shared" si="2"/>
        <v>4000</v>
      </c>
      <c r="G15" s="227">
        <f t="shared" si="2"/>
        <v>0</v>
      </c>
      <c r="H15" s="227">
        <f t="shared" si="2"/>
        <v>0</v>
      </c>
      <c r="I15" s="227">
        <f t="shared" si="2"/>
        <v>127</v>
      </c>
      <c r="J15" s="227">
        <f t="shared" si="2"/>
        <v>0</v>
      </c>
      <c r="K15" s="227">
        <f t="shared" si="2"/>
        <v>0</v>
      </c>
      <c r="L15" s="227">
        <f t="shared" si="2"/>
        <v>0</v>
      </c>
      <c r="M15" s="227">
        <f t="shared" si="2"/>
        <v>16239</v>
      </c>
      <c r="N15" s="130"/>
    </row>
    <row r="16" spans="1:15" x14ac:dyDescent="0.25">
      <c r="A16" s="299">
        <v>16.533333333333299</v>
      </c>
      <c r="B16" s="125"/>
      <c r="C16" s="112" t="s">
        <v>272</v>
      </c>
      <c r="D16" s="227">
        <f t="shared" ref="D16:M16" si="3">SUMIF($B6:$B13,"nem kötelező",D6:D13)</f>
        <v>3181</v>
      </c>
      <c r="E16" s="227">
        <f t="shared" si="3"/>
        <v>758</v>
      </c>
      <c r="F16" s="227">
        <f t="shared" si="3"/>
        <v>26519.010000000002</v>
      </c>
      <c r="G16" s="227">
        <f t="shared" si="3"/>
        <v>0</v>
      </c>
      <c r="H16" s="227">
        <f t="shared" si="3"/>
        <v>0</v>
      </c>
      <c r="I16" s="227">
        <f t="shared" si="3"/>
        <v>0</v>
      </c>
      <c r="J16" s="227">
        <f t="shared" si="3"/>
        <v>0</v>
      </c>
      <c r="K16" s="227">
        <f t="shared" si="3"/>
        <v>0</v>
      </c>
      <c r="L16" s="227">
        <f t="shared" si="3"/>
        <v>0</v>
      </c>
      <c r="M16" s="227">
        <f t="shared" si="3"/>
        <v>30458.010000000002</v>
      </c>
      <c r="N16" s="130"/>
    </row>
    <row r="17" spans="1:14" x14ac:dyDescent="0.25">
      <c r="A17" s="299">
        <v>17.733333333333199</v>
      </c>
      <c r="B17" s="125"/>
      <c r="C17" s="112" t="s">
        <v>334</v>
      </c>
      <c r="D17" s="130"/>
      <c r="E17" s="130"/>
      <c r="F17" s="130"/>
      <c r="G17" s="130"/>
      <c r="H17" s="130"/>
      <c r="I17" s="130"/>
      <c r="J17" s="130"/>
      <c r="K17" s="130"/>
      <c r="L17" s="130"/>
      <c r="M17" s="317">
        <v>8</v>
      </c>
      <c r="N17" s="130"/>
    </row>
    <row r="18" spans="1:14" ht="30" x14ac:dyDescent="0.25">
      <c r="A18" s="299">
        <v>18.933333333333199</v>
      </c>
      <c r="B18" s="125"/>
      <c r="C18" s="74" t="s">
        <v>513</v>
      </c>
      <c r="D18" s="130"/>
      <c r="E18" s="130"/>
      <c r="F18" s="130"/>
      <c r="G18" s="130"/>
      <c r="H18" s="130"/>
      <c r="I18" s="130"/>
      <c r="J18" s="130"/>
      <c r="K18" s="130"/>
      <c r="L18" s="130"/>
      <c r="M18" s="130">
        <v>3</v>
      </c>
      <c r="N18" s="130"/>
    </row>
    <row r="19" spans="1:14" x14ac:dyDescent="0.25">
      <c r="A19" s="299">
        <v>20.133333333333301</v>
      </c>
      <c r="B19" s="125"/>
      <c r="C19" s="112" t="s">
        <v>589</v>
      </c>
      <c r="D19" s="112"/>
      <c r="E19" s="112"/>
      <c r="F19" s="112"/>
      <c r="G19" s="112"/>
      <c r="H19" s="112"/>
      <c r="I19" s="112"/>
      <c r="J19" s="112"/>
      <c r="K19" s="112"/>
      <c r="L19" s="112"/>
      <c r="M19" s="112">
        <v>1</v>
      </c>
    </row>
    <row r="20" spans="1:14" x14ac:dyDescent="0.25">
      <c r="A20" s="316"/>
      <c r="B20" s="125"/>
      <c r="C20" s="112" t="s">
        <v>598</v>
      </c>
      <c r="D20" s="112"/>
      <c r="E20" s="112"/>
      <c r="F20" s="112"/>
      <c r="G20" s="112"/>
      <c r="H20" s="112"/>
      <c r="I20" s="112"/>
      <c r="J20" s="112"/>
      <c r="K20" s="112"/>
      <c r="L20" s="112"/>
      <c r="M20" s="112">
        <v>4</v>
      </c>
    </row>
  </sheetData>
  <mergeCells count="2">
    <mergeCell ref="J1:M1"/>
    <mergeCell ref="C3:M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67"/>
  <sheetViews>
    <sheetView workbookViewId="0">
      <pane xSplit="1" ySplit="6" topLeftCell="B37" activePane="bottomRight" state="frozen"/>
      <selection pane="topRight" activeCell="B1" sqref="B1"/>
      <selection pane="bottomLeft" activeCell="A7" sqref="A7"/>
      <selection pane="bottomRight" activeCell="A65" sqref="A65:XFD65"/>
    </sheetView>
  </sheetViews>
  <sheetFormatPr defaultRowHeight="15.75" x14ac:dyDescent="0.25"/>
  <cols>
    <col min="1" max="1" width="52.7109375" style="2" customWidth="1"/>
    <col min="2" max="2" width="14.42578125" style="2" customWidth="1"/>
    <col min="3" max="3" width="19" style="166" customWidth="1"/>
    <col min="4" max="4" width="12" style="2" customWidth="1"/>
    <col min="5" max="5" width="15.42578125" style="334" bestFit="1" customWidth="1"/>
    <col min="6" max="6" width="12.85546875" style="2" customWidth="1"/>
    <col min="7" max="16384" width="9.140625" style="2"/>
  </cols>
  <sheetData>
    <row r="1" spans="1:6" x14ac:dyDescent="0.25">
      <c r="A1" s="354" t="s">
        <v>472</v>
      </c>
      <c r="B1" s="354"/>
      <c r="C1" s="354"/>
      <c r="D1" s="354"/>
      <c r="E1" s="354"/>
      <c r="F1" s="354"/>
    </row>
    <row r="3" spans="1:6" s="47" customFormat="1" ht="29.25" customHeight="1" x14ac:dyDescent="0.25">
      <c r="A3" s="377" t="s">
        <v>208</v>
      </c>
      <c r="B3" s="377"/>
      <c r="C3" s="377"/>
      <c r="D3" s="377"/>
      <c r="E3" s="377"/>
      <c r="F3" s="377"/>
    </row>
    <row r="4" spans="1:6" ht="16.5" thickBot="1" x14ac:dyDescent="0.3">
      <c r="E4" s="354" t="s">
        <v>380</v>
      </c>
      <c r="F4" s="354"/>
    </row>
    <row r="5" spans="1:6" s="47" customFormat="1" ht="48" thickBot="1" x14ac:dyDescent="0.3">
      <c r="A5" s="57" t="s">
        <v>210</v>
      </c>
      <c r="B5" s="50" t="s">
        <v>211</v>
      </c>
      <c r="C5" s="58" t="s">
        <v>212</v>
      </c>
      <c r="D5" s="58" t="s">
        <v>431</v>
      </c>
      <c r="E5" s="327" t="s">
        <v>447</v>
      </c>
      <c r="F5" s="51" t="s">
        <v>473</v>
      </c>
    </row>
    <row r="6" spans="1:6" s="34" customFormat="1" x14ac:dyDescent="0.25">
      <c r="A6" s="163" t="s">
        <v>150</v>
      </c>
      <c r="B6" s="164" t="s">
        <v>172</v>
      </c>
      <c r="C6" s="164" t="s">
        <v>151</v>
      </c>
      <c r="D6" s="164" t="s">
        <v>152</v>
      </c>
      <c r="E6" s="328" t="s">
        <v>153</v>
      </c>
      <c r="F6" s="165" t="s">
        <v>209</v>
      </c>
    </row>
    <row r="7" spans="1:6" s="159" customFormat="1" x14ac:dyDescent="0.25">
      <c r="A7" s="169" t="s">
        <v>337</v>
      </c>
      <c r="B7" s="35"/>
      <c r="C7" s="35"/>
      <c r="D7" s="35"/>
      <c r="E7" s="329"/>
      <c r="F7" s="35"/>
    </row>
    <row r="8" spans="1:6" s="1" customFormat="1" x14ac:dyDescent="0.25">
      <c r="A8" s="167" t="s">
        <v>483</v>
      </c>
      <c r="B8" s="261"/>
      <c r="C8" s="169"/>
      <c r="D8" s="261"/>
      <c r="E8" s="330"/>
      <c r="F8" s="170"/>
    </row>
    <row r="9" spans="1:6" x14ac:dyDescent="0.25">
      <c r="A9" s="4" t="s">
        <v>484</v>
      </c>
      <c r="B9" s="252">
        <v>1905</v>
      </c>
      <c r="C9" s="36">
        <v>2019</v>
      </c>
      <c r="D9" s="251">
        <v>0</v>
      </c>
      <c r="E9" s="331">
        <v>1905</v>
      </c>
      <c r="F9" s="251">
        <v>0</v>
      </c>
    </row>
    <row r="10" spans="1:6" x14ac:dyDescent="0.25">
      <c r="A10" s="4" t="s">
        <v>485</v>
      </c>
      <c r="B10" s="252">
        <v>95</v>
      </c>
      <c r="C10" s="36">
        <v>2019</v>
      </c>
      <c r="D10" s="251">
        <v>0</v>
      </c>
      <c r="E10" s="331">
        <v>95</v>
      </c>
      <c r="F10" s="251">
        <v>0</v>
      </c>
    </row>
    <row r="11" spans="1:6" s="1" customFormat="1" x14ac:dyDescent="0.25">
      <c r="A11" s="167" t="s">
        <v>379</v>
      </c>
      <c r="B11" s="261">
        <f>SUM(B8:B10)</f>
        <v>2000</v>
      </c>
      <c r="C11" s="169"/>
      <c r="D11" s="261">
        <v>0</v>
      </c>
      <c r="E11" s="336">
        <f>SUM(E8:E10)</f>
        <v>2000</v>
      </c>
      <c r="F11" s="305"/>
    </row>
    <row r="12" spans="1:6" s="1" customFormat="1" x14ac:dyDescent="0.25">
      <c r="A12" s="169" t="s">
        <v>388</v>
      </c>
      <c r="B12" s="261"/>
      <c r="C12" s="169"/>
      <c r="D12" s="261"/>
      <c r="E12" s="330"/>
      <c r="F12" s="305"/>
    </row>
    <row r="13" spans="1:6" x14ac:dyDescent="0.25">
      <c r="A13" s="108" t="s">
        <v>378</v>
      </c>
      <c r="B13" s="252">
        <v>42570.487999999998</v>
      </c>
      <c r="C13" s="35">
        <v>2019</v>
      </c>
      <c r="D13" s="252">
        <v>0</v>
      </c>
      <c r="E13" s="335">
        <v>42570.487999999998</v>
      </c>
      <c r="F13" s="251">
        <v>0</v>
      </c>
    </row>
    <row r="14" spans="1:6" x14ac:dyDescent="0.25">
      <c r="A14" s="108" t="s">
        <v>375</v>
      </c>
      <c r="B14" s="252">
        <v>186265.1</v>
      </c>
      <c r="C14" s="35">
        <v>2019</v>
      </c>
      <c r="D14" s="252">
        <v>0</v>
      </c>
      <c r="E14" s="335">
        <v>186265.1</v>
      </c>
      <c r="F14" s="251">
        <v>0</v>
      </c>
    </row>
    <row r="15" spans="1:6" ht="38.25" x14ac:dyDescent="0.25">
      <c r="A15" s="237" t="s">
        <v>543</v>
      </c>
      <c r="B15" s="252">
        <v>1270</v>
      </c>
      <c r="C15" s="35">
        <v>2019</v>
      </c>
      <c r="D15" s="252">
        <v>0</v>
      </c>
      <c r="E15" s="335">
        <v>1270</v>
      </c>
      <c r="F15" s="251">
        <v>0</v>
      </c>
    </row>
    <row r="16" spans="1:6" x14ac:dyDescent="0.25">
      <c r="A16" s="108" t="s">
        <v>376</v>
      </c>
      <c r="B16" s="252">
        <v>35359.459000000003</v>
      </c>
      <c r="C16" s="35">
        <v>2019</v>
      </c>
      <c r="D16" s="252">
        <v>0</v>
      </c>
      <c r="E16" s="335">
        <v>35359.459000000003</v>
      </c>
      <c r="F16" s="251">
        <v>0</v>
      </c>
    </row>
    <row r="17" spans="1:6" x14ac:dyDescent="0.25">
      <c r="A17" s="108" t="s">
        <v>529</v>
      </c>
      <c r="B17" s="252">
        <v>15345</v>
      </c>
      <c r="C17" s="35">
        <v>2019</v>
      </c>
      <c r="D17" s="252">
        <v>0</v>
      </c>
      <c r="E17" s="335">
        <v>15345</v>
      </c>
      <c r="F17" s="251"/>
    </row>
    <row r="18" spans="1:6" x14ac:dyDescent="0.25">
      <c r="A18" s="108" t="s">
        <v>377</v>
      </c>
      <c r="B18" s="252">
        <v>158900.43799999999</v>
      </c>
      <c r="C18" s="35">
        <v>2019</v>
      </c>
      <c r="D18" s="252">
        <v>0</v>
      </c>
      <c r="E18" s="335">
        <v>158900.43799999999</v>
      </c>
      <c r="F18" s="251">
        <v>0</v>
      </c>
    </row>
    <row r="19" spans="1:6" s="1" customFormat="1" x14ac:dyDescent="0.25">
      <c r="A19" s="167" t="s">
        <v>389</v>
      </c>
      <c r="B19" s="261">
        <f>SUM(B13:B18)</f>
        <v>439710.48499999999</v>
      </c>
      <c r="C19" s="169"/>
      <c r="D19" s="261"/>
      <c r="E19" s="330">
        <f>SUM(E13:E18)</f>
        <v>439710.48499999999</v>
      </c>
      <c r="F19" s="305"/>
    </row>
    <row r="20" spans="1:6" s="1" customFormat="1" x14ac:dyDescent="0.25">
      <c r="A20" s="306" t="s">
        <v>488</v>
      </c>
      <c r="B20" s="252"/>
      <c r="C20" s="35"/>
      <c r="D20" s="252"/>
      <c r="E20" s="331"/>
      <c r="F20" s="305"/>
    </row>
    <row r="21" spans="1:6" x14ac:dyDescent="0.25">
      <c r="A21" s="108" t="s">
        <v>486</v>
      </c>
      <c r="B21" s="252">
        <v>100477.77899999999</v>
      </c>
      <c r="C21" s="35">
        <v>2019</v>
      </c>
      <c r="D21" s="252">
        <v>0</v>
      </c>
      <c r="E21" s="335">
        <v>76618.778999999995</v>
      </c>
      <c r="F21" s="251">
        <v>0</v>
      </c>
    </row>
    <row r="22" spans="1:6" s="1" customFormat="1" ht="25.5" x14ac:dyDescent="0.25">
      <c r="A22" s="237" t="s">
        <v>489</v>
      </c>
      <c r="B22" s="252">
        <v>44766.830999999998</v>
      </c>
      <c r="C22" s="35">
        <v>2019</v>
      </c>
      <c r="D22" s="252">
        <v>0</v>
      </c>
      <c r="E22" s="335">
        <v>39747</v>
      </c>
      <c r="F22" s="251">
        <v>5019.8310000000001</v>
      </c>
    </row>
    <row r="23" spans="1:6" s="1" customFormat="1" x14ac:dyDescent="0.25">
      <c r="A23" s="237" t="s">
        <v>563</v>
      </c>
      <c r="B23" s="252">
        <v>352.7</v>
      </c>
      <c r="C23" s="35">
        <v>2019</v>
      </c>
      <c r="D23" s="252">
        <v>0</v>
      </c>
      <c r="E23" s="335">
        <v>352.7</v>
      </c>
      <c r="F23" s="251">
        <v>0</v>
      </c>
    </row>
    <row r="24" spans="1:6" s="1" customFormat="1" ht="25.5" x14ac:dyDescent="0.25">
      <c r="A24" s="237" t="s">
        <v>554</v>
      </c>
      <c r="B24" s="252">
        <v>803</v>
      </c>
      <c r="C24" s="35">
        <v>2019</v>
      </c>
      <c r="D24" s="252">
        <v>0</v>
      </c>
      <c r="E24" s="335">
        <v>803</v>
      </c>
      <c r="F24" s="251">
        <v>0</v>
      </c>
    </row>
    <row r="25" spans="1:6" s="1" customFormat="1" ht="25.5" x14ac:dyDescent="0.25">
      <c r="A25" s="237" t="s">
        <v>564</v>
      </c>
      <c r="B25" s="252">
        <v>2205.9879999999998</v>
      </c>
      <c r="C25" s="35">
        <v>2019</v>
      </c>
      <c r="D25" s="252">
        <v>0</v>
      </c>
      <c r="E25" s="335">
        <v>2205.9879999999998</v>
      </c>
      <c r="F25" s="251">
        <v>0</v>
      </c>
    </row>
    <row r="26" spans="1:6" s="1" customFormat="1" ht="25.5" x14ac:dyDescent="0.25">
      <c r="A26" s="237" t="s">
        <v>565</v>
      </c>
      <c r="B26" s="252">
        <v>2362.4</v>
      </c>
      <c r="C26" s="35">
        <v>2019</v>
      </c>
      <c r="D26" s="252">
        <v>0</v>
      </c>
      <c r="E26" s="335">
        <v>2362.4</v>
      </c>
      <c r="F26" s="251">
        <v>0</v>
      </c>
    </row>
    <row r="27" spans="1:6" s="1" customFormat="1" ht="25.5" x14ac:dyDescent="0.25">
      <c r="A27" s="237" t="s">
        <v>566</v>
      </c>
      <c r="B27" s="252">
        <v>1954.53</v>
      </c>
      <c r="C27" s="35">
        <v>2019</v>
      </c>
      <c r="D27" s="252">
        <v>0</v>
      </c>
      <c r="E27" s="335">
        <v>1954.53</v>
      </c>
      <c r="F27" s="251">
        <v>0</v>
      </c>
    </row>
    <row r="28" spans="1:6" s="1" customFormat="1" x14ac:dyDescent="0.25">
      <c r="A28" s="322" t="s">
        <v>542</v>
      </c>
      <c r="B28" s="261">
        <f>SUM(B21:B27)</f>
        <v>152923.228</v>
      </c>
      <c r="C28" s="169"/>
      <c r="D28" s="261"/>
      <c r="E28" s="330">
        <f>SUM(E21:E27)</f>
        <v>124044.39699999998</v>
      </c>
      <c r="F28" s="305">
        <f>SUM(F21:F27)</f>
        <v>5019.8310000000001</v>
      </c>
    </row>
    <row r="29" spans="1:6" x14ac:dyDescent="0.25">
      <c r="A29" s="237" t="s">
        <v>568</v>
      </c>
      <c r="B29" s="252">
        <v>5000</v>
      </c>
      <c r="C29" s="35">
        <v>2019</v>
      </c>
      <c r="D29" s="252">
        <v>0</v>
      </c>
      <c r="E29" s="335">
        <v>5000</v>
      </c>
      <c r="F29" s="251">
        <v>0</v>
      </c>
    </row>
    <row r="30" spans="1:6" s="1" customFormat="1" ht="31.5" x14ac:dyDescent="0.25">
      <c r="A30" s="323" t="s">
        <v>544</v>
      </c>
      <c r="B30" s="252">
        <v>0</v>
      </c>
      <c r="C30" s="35">
        <v>2019</v>
      </c>
      <c r="D30" s="252">
        <v>0</v>
      </c>
      <c r="E30" s="331">
        <v>0</v>
      </c>
      <c r="F30" s="251">
        <v>0</v>
      </c>
    </row>
    <row r="31" spans="1:6" s="1" customFormat="1" ht="31.5" x14ac:dyDescent="0.25">
      <c r="A31" s="323" t="s">
        <v>545</v>
      </c>
      <c r="B31" s="252">
        <v>144.28</v>
      </c>
      <c r="C31" s="35">
        <v>2019</v>
      </c>
      <c r="D31" s="252">
        <v>0</v>
      </c>
      <c r="E31" s="335">
        <v>144.28</v>
      </c>
      <c r="F31" s="251">
        <v>0</v>
      </c>
    </row>
    <row r="32" spans="1:6" s="1" customFormat="1" ht="34.5" x14ac:dyDescent="0.25">
      <c r="A32" s="323" t="s">
        <v>550</v>
      </c>
      <c r="B32" s="252">
        <v>0</v>
      </c>
      <c r="C32" s="35">
        <v>2019</v>
      </c>
      <c r="D32" s="252">
        <v>0</v>
      </c>
      <c r="E32" s="331">
        <v>0</v>
      </c>
      <c r="F32" s="251">
        <v>0</v>
      </c>
    </row>
    <row r="33" spans="1:6" s="1" customFormat="1" x14ac:dyDescent="0.25">
      <c r="A33" s="323" t="s">
        <v>567</v>
      </c>
      <c r="B33" s="252">
        <v>600</v>
      </c>
      <c r="C33" s="35">
        <v>2019</v>
      </c>
      <c r="D33" s="252">
        <v>0</v>
      </c>
      <c r="E33" s="335">
        <v>600</v>
      </c>
      <c r="F33" s="251">
        <v>0</v>
      </c>
    </row>
    <row r="34" spans="1:6" s="1" customFormat="1" ht="31.5" x14ac:dyDescent="0.25">
      <c r="A34" s="323" t="s">
        <v>546</v>
      </c>
      <c r="B34" s="252">
        <v>0</v>
      </c>
      <c r="C34" s="35">
        <v>2019</v>
      </c>
      <c r="D34" s="252"/>
      <c r="E34" s="331">
        <v>0</v>
      </c>
      <c r="F34" s="251"/>
    </row>
    <row r="35" spans="1:6" s="1" customFormat="1" x14ac:dyDescent="0.25">
      <c r="A35" s="323" t="s">
        <v>547</v>
      </c>
      <c r="B35" s="252">
        <v>2399.5</v>
      </c>
      <c r="C35" s="35" t="s">
        <v>548</v>
      </c>
      <c r="D35" s="252">
        <v>2062</v>
      </c>
      <c r="E35" s="335">
        <v>337.5</v>
      </c>
      <c r="F35" s="251">
        <v>0</v>
      </c>
    </row>
    <row r="36" spans="1:6" s="1" customFormat="1" x14ac:dyDescent="0.25">
      <c r="A36" s="167" t="s">
        <v>340</v>
      </c>
      <c r="B36" s="261">
        <f>B11+B19+SUM(B20:B35)</f>
        <v>755700.72100000002</v>
      </c>
      <c r="C36" s="168"/>
      <c r="D36" s="261"/>
      <c r="E36" s="330">
        <f>E11+E19+E28+E29+E31+E33+E35</f>
        <v>571836.66200000001</v>
      </c>
      <c r="F36" s="261"/>
    </row>
    <row r="37" spans="1:6" s="1" customFormat="1" x14ac:dyDescent="0.25">
      <c r="A37" s="169" t="s">
        <v>407</v>
      </c>
      <c r="B37" s="261"/>
      <c r="C37" s="169"/>
      <c r="D37" s="261"/>
      <c r="E37" s="330"/>
      <c r="F37" s="305">
        <f t="shared" ref="F37:F63" si="0">B37-D37-E37</f>
        <v>0</v>
      </c>
    </row>
    <row r="38" spans="1:6" x14ac:dyDescent="0.25">
      <c r="A38" s="4" t="s">
        <v>549</v>
      </c>
      <c r="B38" s="252">
        <v>105</v>
      </c>
      <c r="C38" s="35">
        <v>2019</v>
      </c>
      <c r="D38" s="252">
        <v>0</v>
      </c>
      <c r="E38" s="331">
        <v>105</v>
      </c>
      <c r="F38" s="251">
        <v>0</v>
      </c>
    </row>
    <row r="39" spans="1:6" x14ac:dyDescent="0.25">
      <c r="A39" s="4" t="s">
        <v>569</v>
      </c>
      <c r="B39" s="252">
        <v>44.4</v>
      </c>
      <c r="C39" s="35">
        <v>2019</v>
      </c>
      <c r="D39" s="252">
        <v>0</v>
      </c>
      <c r="E39" s="331">
        <v>44.4</v>
      </c>
      <c r="F39" s="251">
        <v>0</v>
      </c>
    </row>
    <row r="40" spans="1:6" s="1" customFormat="1" x14ac:dyDescent="0.25">
      <c r="A40" s="167" t="s">
        <v>408</v>
      </c>
      <c r="B40" s="261"/>
      <c r="C40" s="169"/>
      <c r="D40" s="261"/>
      <c r="E40" s="330">
        <f>SUM(E38:E39)</f>
        <v>149.4</v>
      </c>
      <c r="F40" s="305"/>
    </row>
    <row r="41" spans="1:6" x14ac:dyDescent="0.25">
      <c r="A41" s="169" t="s">
        <v>339</v>
      </c>
      <c r="B41" s="252"/>
      <c r="C41" s="35"/>
      <c r="D41" s="252"/>
      <c r="E41" s="331"/>
      <c r="F41" s="251">
        <f t="shared" si="0"/>
        <v>0</v>
      </c>
    </row>
    <row r="42" spans="1:6" x14ac:dyDescent="0.25">
      <c r="A42" s="320" t="s">
        <v>537</v>
      </c>
      <c r="B42" s="252">
        <v>280</v>
      </c>
      <c r="C42" s="35">
        <v>2019</v>
      </c>
      <c r="D42" s="252">
        <v>0</v>
      </c>
      <c r="E42" s="331">
        <v>280</v>
      </c>
      <c r="F42" s="251">
        <v>0</v>
      </c>
    </row>
    <row r="43" spans="1:6" x14ac:dyDescent="0.25">
      <c r="A43" s="320" t="s">
        <v>538</v>
      </c>
      <c r="B43" s="252">
        <v>140</v>
      </c>
      <c r="C43" s="35">
        <v>2019</v>
      </c>
      <c r="D43" s="252">
        <v>0</v>
      </c>
      <c r="E43" s="331">
        <v>140</v>
      </c>
      <c r="F43" s="251">
        <v>0</v>
      </c>
    </row>
    <row r="44" spans="1:6" x14ac:dyDescent="0.25">
      <c r="A44" s="320" t="s">
        <v>539</v>
      </c>
      <c r="B44" s="252">
        <v>300</v>
      </c>
      <c r="C44" s="35">
        <v>2019</v>
      </c>
      <c r="D44" s="252">
        <v>0</v>
      </c>
      <c r="E44" s="331">
        <v>300</v>
      </c>
      <c r="F44" s="251">
        <v>0</v>
      </c>
    </row>
    <row r="45" spans="1:6" ht="31.5" x14ac:dyDescent="0.25">
      <c r="A45" s="321" t="s">
        <v>540</v>
      </c>
      <c r="B45" s="252">
        <v>300</v>
      </c>
      <c r="C45" s="35">
        <v>2019</v>
      </c>
      <c r="D45" s="252">
        <v>0</v>
      </c>
      <c r="E45" s="331">
        <v>300</v>
      </c>
      <c r="F45" s="251">
        <v>0</v>
      </c>
    </row>
    <row r="46" spans="1:6" x14ac:dyDescent="0.25">
      <c r="A46" s="321" t="s">
        <v>570</v>
      </c>
      <c r="B46" s="252">
        <v>1440</v>
      </c>
      <c r="C46" s="35">
        <v>2019</v>
      </c>
      <c r="D46" s="252">
        <v>0</v>
      </c>
      <c r="E46" s="331">
        <v>1440</v>
      </c>
      <c r="F46" s="251">
        <v>0</v>
      </c>
    </row>
    <row r="47" spans="1:6" x14ac:dyDescent="0.25">
      <c r="A47" s="320" t="s">
        <v>541</v>
      </c>
      <c r="B47" s="252">
        <v>0</v>
      </c>
      <c r="C47" s="35">
        <v>2019</v>
      </c>
      <c r="D47" s="252">
        <v>0</v>
      </c>
      <c r="E47" s="331">
        <v>0</v>
      </c>
      <c r="F47" s="251">
        <v>0</v>
      </c>
    </row>
    <row r="48" spans="1:6" s="1" customFormat="1" x14ac:dyDescent="0.25">
      <c r="A48" s="167" t="s">
        <v>341</v>
      </c>
      <c r="B48" s="261">
        <f>SUM(B42:B47)</f>
        <v>2460</v>
      </c>
      <c r="C48" s="168"/>
      <c r="D48" s="261">
        <f>SUM(D45:D47)</f>
        <v>0</v>
      </c>
      <c r="E48" s="330">
        <f>SUM(E42:E47)</f>
        <v>2460</v>
      </c>
      <c r="F48" s="305"/>
    </row>
    <row r="49" spans="1:6" x14ac:dyDescent="0.25">
      <c r="A49" s="169" t="s">
        <v>342</v>
      </c>
      <c r="B49" s="252"/>
      <c r="C49" s="35"/>
      <c r="D49" s="252"/>
      <c r="E49" s="331"/>
      <c r="F49" s="251"/>
    </row>
    <row r="50" spans="1:6" x14ac:dyDescent="0.25">
      <c r="A50" s="4" t="s">
        <v>531</v>
      </c>
      <c r="B50" s="252">
        <v>0</v>
      </c>
      <c r="C50" s="35">
        <v>2019</v>
      </c>
      <c r="D50" s="252"/>
      <c r="E50" s="331">
        <v>0</v>
      </c>
      <c r="F50" s="251">
        <v>0</v>
      </c>
    </row>
    <row r="51" spans="1:6" x14ac:dyDescent="0.25">
      <c r="A51" s="4" t="s">
        <v>532</v>
      </c>
      <c r="B51" s="252">
        <v>0</v>
      </c>
      <c r="C51" s="35">
        <v>2019</v>
      </c>
      <c r="D51" s="252"/>
      <c r="E51" s="331">
        <v>0</v>
      </c>
      <c r="F51" s="251">
        <v>0</v>
      </c>
    </row>
    <row r="52" spans="1:6" x14ac:dyDescent="0.25">
      <c r="A52" s="4" t="s">
        <v>533</v>
      </c>
      <c r="B52" s="252">
        <v>400</v>
      </c>
      <c r="C52" s="35">
        <v>2019</v>
      </c>
      <c r="D52" s="252"/>
      <c r="E52" s="331">
        <v>295</v>
      </c>
      <c r="F52" s="251">
        <v>0</v>
      </c>
    </row>
    <row r="53" spans="1:6" x14ac:dyDescent="0.25">
      <c r="A53" s="4" t="s">
        <v>534</v>
      </c>
      <c r="B53" s="252">
        <v>120</v>
      </c>
      <c r="C53" s="35">
        <v>2019</v>
      </c>
      <c r="D53" s="252"/>
      <c r="E53" s="331">
        <v>0</v>
      </c>
      <c r="F53" s="251">
        <v>0</v>
      </c>
    </row>
    <row r="54" spans="1:6" x14ac:dyDescent="0.25">
      <c r="A54" s="4" t="s">
        <v>535</v>
      </c>
      <c r="B54" s="252">
        <v>400</v>
      </c>
      <c r="C54" s="35">
        <v>2019</v>
      </c>
      <c r="D54" s="252"/>
      <c r="E54" s="331">
        <v>400</v>
      </c>
      <c r="F54" s="251">
        <v>0</v>
      </c>
    </row>
    <row r="55" spans="1:6" x14ac:dyDescent="0.25">
      <c r="A55" s="4" t="s">
        <v>536</v>
      </c>
      <c r="B55" s="252">
        <v>100</v>
      </c>
      <c r="C55" s="35">
        <v>2019</v>
      </c>
      <c r="D55" s="252"/>
      <c r="E55" s="331">
        <v>100</v>
      </c>
      <c r="F55" s="251">
        <v>0</v>
      </c>
    </row>
    <row r="56" spans="1:6" s="1" customFormat="1" x14ac:dyDescent="0.25">
      <c r="A56" s="167" t="s">
        <v>343</v>
      </c>
      <c r="B56" s="261">
        <f>SUM(B50:B55)</f>
        <v>1020</v>
      </c>
      <c r="C56" s="168"/>
      <c r="D56" s="261">
        <f>SUM(D50:D55)</f>
        <v>0</v>
      </c>
      <c r="E56" s="330">
        <f>SUM(E50:E55)</f>
        <v>795</v>
      </c>
      <c r="F56" s="305"/>
    </row>
    <row r="57" spans="1:6" hidden="1" x14ac:dyDescent="0.25">
      <c r="A57" s="4"/>
      <c r="B57" s="252"/>
      <c r="C57" s="35"/>
      <c r="D57" s="252"/>
      <c r="E57" s="331"/>
      <c r="F57" s="251">
        <f t="shared" si="0"/>
        <v>0</v>
      </c>
    </row>
    <row r="58" spans="1:6" hidden="1" x14ac:dyDescent="0.25">
      <c r="A58" s="4"/>
      <c r="B58" s="252"/>
      <c r="C58" s="35"/>
      <c r="D58" s="252"/>
      <c r="E58" s="331"/>
      <c r="F58" s="251">
        <f t="shared" si="0"/>
        <v>0</v>
      </c>
    </row>
    <row r="59" spans="1:6" hidden="1" x14ac:dyDescent="0.25">
      <c r="A59" s="4"/>
      <c r="B59" s="252"/>
      <c r="C59" s="35"/>
      <c r="D59" s="252"/>
      <c r="E59" s="331"/>
      <c r="F59" s="251">
        <f t="shared" si="0"/>
        <v>0</v>
      </c>
    </row>
    <row r="60" spans="1:6" hidden="1" x14ac:dyDescent="0.25">
      <c r="A60" s="4"/>
      <c r="B60" s="252"/>
      <c r="C60" s="35"/>
      <c r="D60" s="252"/>
      <c r="E60" s="331"/>
      <c r="F60" s="251">
        <f t="shared" si="0"/>
        <v>0</v>
      </c>
    </row>
    <row r="61" spans="1:6" hidden="1" x14ac:dyDescent="0.25">
      <c r="A61" s="4"/>
      <c r="B61" s="252"/>
      <c r="C61" s="35"/>
      <c r="D61" s="252"/>
      <c r="E61" s="331"/>
      <c r="F61" s="251">
        <f t="shared" si="0"/>
        <v>0</v>
      </c>
    </row>
    <row r="62" spans="1:6" hidden="1" x14ac:dyDescent="0.25">
      <c r="A62" s="4"/>
      <c r="B62" s="252"/>
      <c r="C62" s="35"/>
      <c r="D62" s="252"/>
      <c r="E62" s="331"/>
      <c r="F62" s="251">
        <f t="shared" si="0"/>
        <v>0</v>
      </c>
    </row>
    <row r="63" spans="1:6" ht="16.5" hidden="1" thickBot="1" x14ac:dyDescent="0.3">
      <c r="A63" s="12"/>
      <c r="B63" s="253"/>
      <c r="C63" s="40"/>
      <c r="D63" s="253"/>
      <c r="E63" s="332"/>
      <c r="F63" s="255">
        <f t="shared" si="0"/>
        <v>0</v>
      </c>
    </row>
    <row r="64" spans="1:6" x14ac:dyDescent="0.25">
      <c r="A64" s="169" t="s">
        <v>381</v>
      </c>
      <c r="B64" s="252"/>
      <c r="C64" s="35"/>
      <c r="D64" s="252"/>
      <c r="E64" s="331"/>
      <c r="F64" s="252"/>
    </row>
    <row r="65" spans="1:6" x14ac:dyDescent="0.25">
      <c r="A65" s="4" t="s">
        <v>549</v>
      </c>
      <c r="B65" s="252">
        <v>127</v>
      </c>
      <c r="C65" s="35">
        <v>2019</v>
      </c>
      <c r="D65" s="252">
        <v>0</v>
      </c>
      <c r="E65" s="331">
        <v>127</v>
      </c>
      <c r="F65" s="252">
        <v>0</v>
      </c>
    </row>
    <row r="66" spans="1:6" s="1" customFormat="1" x14ac:dyDescent="0.25">
      <c r="A66" s="167" t="s">
        <v>429</v>
      </c>
      <c r="B66" s="261"/>
      <c r="C66" s="169"/>
      <c r="D66" s="261"/>
      <c r="E66" s="330">
        <f>SUM(E65:E65)</f>
        <v>127</v>
      </c>
      <c r="F66" s="261"/>
    </row>
    <row r="67" spans="1:6" s="1" customFormat="1" ht="16.5" thickBot="1" x14ac:dyDescent="0.3">
      <c r="A67" s="303" t="s">
        <v>344</v>
      </c>
      <c r="B67" s="304">
        <f>B36+B37+B48+B56</f>
        <v>759180.72100000002</v>
      </c>
      <c r="C67" s="304"/>
      <c r="D67" s="304">
        <f>D36+D37+D48+D56</f>
        <v>0</v>
      </c>
      <c r="E67" s="333">
        <f>E36+E40+E48+E56+E66</f>
        <v>575368.06200000003</v>
      </c>
      <c r="F67" s="304">
        <f>F36+F37+F48+F56</f>
        <v>0</v>
      </c>
    </row>
  </sheetData>
  <mergeCells count="3">
    <mergeCell ref="A1:F1"/>
    <mergeCell ref="A3:F3"/>
    <mergeCell ref="E4:F4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7"/>
  <sheetViews>
    <sheetView view="pageBreakPreview" zoomScaleNormal="100" zoomScaleSheetLayoutView="100" workbookViewId="0">
      <selection activeCell="D32" sqref="D32"/>
    </sheetView>
  </sheetViews>
  <sheetFormatPr defaultRowHeight="15.75" x14ac:dyDescent="0.25"/>
  <cols>
    <col min="1" max="1" width="53.42578125" style="2" customWidth="1"/>
    <col min="2" max="2" width="14.42578125" style="2" customWidth="1"/>
    <col min="3" max="3" width="16" style="2" customWidth="1"/>
    <col min="4" max="4" width="12" style="2" customWidth="1"/>
    <col min="5" max="5" width="11.42578125" style="2" customWidth="1"/>
    <col min="6" max="6" width="12.85546875" style="2" customWidth="1"/>
    <col min="7" max="16384" width="9.140625" style="2"/>
  </cols>
  <sheetData>
    <row r="1" spans="1:6" x14ac:dyDescent="0.25">
      <c r="A1" s="354" t="s">
        <v>474</v>
      </c>
      <c r="B1" s="354"/>
      <c r="C1" s="354"/>
      <c r="D1" s="354"/>
      <c r="E1" s="354"/>
      <c r="F1" s="354"/>
    </row>
    <row r="3" spans="1:6" s="47" customFormat="1" ht="29.25" customHeight="1" x14ac:dyDescent="0.25">
      <c r="A3" s="377" t="s">
        <v>214</v>
      </c>
      <c r="B3" s="377"/>
      <c r="C3" s="377"/>
      <c r="D3" s="377"/>
      <c r="E3" s="377"/>
      <c r="F3" s="377"/>
    </row>
    <row r="4" spans="1:6" ht="16.5" thickBot="1" x14ac:dyDescent="0.3">
      <c r="E4" s="354" t="s">
        <v>380</v>
      </c>
      <c r="F4" s="354"/>
    </row>
    <row r="5" spans="1:6" s="47" customFormat="1" ht="48" thickBot="1" x14ac:dyDescent="0.3">
      <c r="A5" s="57" t="s">
        <v>215</v>
      </c>
      <c r="B5" s="50" t="s">
        <v>211</v>
      </c>
      <c r="C5" s="58" t="s">
        <v>212</v>
      </c>
      <c r="D5" s="58" t="s">
        <v>431</v>
      </c>
      <c r="E5" s="58" t="s">
        <v>447</v>
      </c>
      <c r="F5" s="51" t="s">
        <v>473</v>
      </c>
    </row>
    <row r="6" spans="1:6" s="34" customFormat="1" ht="16.5" thickBot="1" x14ac:dyDescent="0.3">
      <c r="A6" s="54" t="s">
        <v>150</v>
      </c>
      <c r="B6" s="52" t="s">
        <v>172</v>
      </c>
      <c r="C6" s="52" t="s">
        <v>151</v>
      </c>
      <c r="D6" s="52" t="s">
        <v>152</v>
      </c>
      <c r="E6" s="52" t="s">
        <v>153</v>
      </c>
      <c r="F6" s="59" t="s">
        <v>209</v>
      </c>
    </row>
    <row r="7" spans="1:6" x14ac:dyDescent="0.25">
      <c r="A7" s="108" t="s">
        <v>481</v>
      </c>
      <c r="B7" s="251">
        <v>0</v>
      </c>
      <c r="C7" s="36">
        <v>2019</v>
      </c>
      <c r="D7" s="251">
        <v>0</v>
      </c>
      <c r="E7" s="251">
        <v>0</v>
      </c>
      <c r="F7" s="251">
        <v>0</v>
      </c>
    </row>
    <row r="8" spans="1:6" ht="31.5" x14ac:dyDescent="0.25">
      <c r="A8" s="25" t="s">
        <v>482</v>
      </c>
      <c r="B8" s="263">
        <v>500</v>
      </c>
      <c r="C8" s="188">
        <v>2019</v>
      </c>
      <c r="D8" s="252">
        <v>0</v>
      </c>
      <c r="E8" s="263">
        <v>500</v>
      </c>
      <c r="F8" s="252">
        <v>0</v>
      </c>
    </row>
    <row r="9" spans="1:6" x14ac:dyDescent="0.25">
      <c r="A9" s="108" t="s">
        <v>486</v>
      </c>
      <c r="B9" s="264">
        <v>23859</v>
      </c>
      <c r="C9" s="189">
        <v>2019</v>
      </c>
      <c r="D9" s="253">
        <v>0</v>
      </c>
      <c r="E9" s="264">
        <v>23859</v>
      </c>
      <c r="F9" s="253">
        <v>0</v>
      </c>
    </row>
    <row r="10" spans="1:6" x14ac:dyDescent="0.25">
      <c r="A10" s="4" t="s">
        <v>530</v>
      </c>
      <c r="B10" s="264">
        <v>570</v>
      </c>
      <c r="C10" s="188">
        <v>2019</v>
      </c>
      <c r="D10" s="252">
        <v>0</v>
      </c>
      <c r="E10" s="264">
        <v>570</v>
      </c>
      <c r="F10" s="253">
        <v>0</v>
      </c>
    </row>
    <row r="11" spans="1:6" x14ac:dyDescent="0.25">
      <c r="A11" s="4" t="s">
        <v>572</v>
      </c>
      <c r="B11" s="264">
        <v>230.7</v>
      </c>
      <c r="C11" s="189">
        <v>2019</v>
      </c>
      <c r="D11" s="253">
        <v>0</v>
      </c>
      <c r="E11" s="264">
        <v>230.7</v>
      </c>
      <c r="F11" s="253">
        <v>0</v>
      </c>
    </row>
    <row r="12" spans="1:6" x14ac:dyDescent="0.25">
      <c r="A12" s="4" t="s">
        <v>571</v>
      </c>
      <c r="B12" s="264">
        <v>2882.1</v>
      </c>
      <c r="C12" s="189">
        <v>2019</v>
      </c>
      <c r="D12" s="253">
        <v>0</v>
      </c>
      <c r="E12" s="264">
        <v>2882.1</v>
      </c>
      <c r="F12" s="253">
        <v>0</v>
      </c>
    </row>
    <row r="13" spans="1:6" x14ac:dyDescent="0.25">
      <c r="A13" s="108" t="s">
        <v>515</v>
      </c>
      <c r="B13" s="264">
        <v>0</v>
      </c>
      <c r="C13" s="189">
        <v>2019</v>
      </c>
      <c r="D13" s="253">
        <v>0</v>
      </c>
      <c r="E13" s="264">
        <v>0</v>
      </c>
      <c r="F13" s="253">
        <v>0</v>
      </c>
    </row>
    <row r="14" spans="1:6" ht="16.5" thickBot="1" x14ac:dyDescent="0.3">
      <c r="A14" s="108" t="s">
        <v>516</v>
      </c>
      <c r="B14" s="264">
        <v>0</v>
      </c>
      <c r="C14" s="189">
        <v>2019</v>
      </c>
      <c r="D14" s="253">
        <v>0</v>
      </c>
      <c r="E14" s="264">
        <v>0</v>
      </c>
      <c r="F14" s="253">
        <v>0</v>
      </c>
    </row>
    <row r="15" spans="1:6" ht="16.5" hidden="1" thickBot="1" x14ac:dyDescent="0.3">
      <c r="A15" s="4"/>
      <c r="B15" s="263"/>
      <c r="C15" s="35"/>
      <c r="D15" s="252"/>
      <c r="E15" s="263"/>
      <c r="F15" s="252"/>
    </row>
    <row r="16" spans="1:6" ht="16.5" hidden="1" thickBot="1" x14ac:dyDescent="0.3">
      <c r="A16" s="4"/>
      <c r="B16" s="263"/>
      <c r="C16" s="35"/>
      <c r="D16" s="252"/>
      <c r="E16" s="263"/>
      <c r="F16" s="252"/>
    </row>
    <row r="17" spans="1:6" ht="16.5" hidden="1" thickBot="1" x14ac:dyDescent="0.3">
      <c r="A17" s="4"/>
      <c r="B17" s="263"/>
      <c r="C17" s="35"/>
      <c r="D17" s="252"/>
      <c r="E17" s="263"/>
      <c r="F17" s="252"/>
    </row>
    <row r="18" spans="1:6" ht="16.5" hidden="1" thickBot="1" x14ac:dyDescent="0.3">
      <c r="A18" s="4"/>
      <c r="B18" s="263"/>
      <c r="C18" s="35"/>
      <c r="D18" s="252"/>
      <c r="E18" s="263"/>
      <c r="F18" s="252"/>
    </row>
    <row r="19" spans="1:6" ht="16.5" hidden="1" thickBot="1" x14ac:dyDescent="0.3">
      <c r="A19" s="4"/>
      <c r="B19" s="263"/>
      <c r="C19" s="35"/>
      <c r="D19" s="252"/>
      <c r="E19" s="263"/>
      <c r="F19" s="252"/>
    </row>
    <row r="20" spans="1:6" ht="16.5" hidden="1" thickBot="1" x14ac:dyDescent="0.3">
      <c r="A20" s="4"/>
      <c r="B20" s="263"/>
      <c r="C20" s="35"/>
      <c r="D20" s="252"/>
      <c r="E20" s="263"/>
      <c r="F20" s="252"/>
    </row>
    <row r="21" spans="1:6" ht="16.5" hidden="1" thickBot="1" x14ac:dyDescent="0.3">
      <c r="A21" s="4"/>
      <c r="B21" s="263"/>
      <c r="C21" s="35"/>
      <c r="D21" s="252"/>
      <c r="E21" s="263"/>
      <c r="F21" s="252"/>
    </row>
    <row r="22" spans="1:6" ht="16.5" hidden="1" thickBot="1" x14ac:dyDescent="0.3">
      <c r="A22" s="4"/>
      <c r="B22" s="263"/>
      <c r="C22" s="35"/>
      <c r="D22" s="252"/>
      <c r="E22" s="263"/>
      <c r="F22" s="252"/>
    </row>
    <row r="23" spans="1:6" ht="16.5" hidden="1" thickBot="1" x14ac:dyDescent="0.3">
      <c r="A23" s="4"/>
      <c r="B23" s="263"/>
      <c r="C23" s="35"/>
      <c r="D23" s="252"/>
      <c r="E23" s="263"/>
      <c r="F23" s="252"/>
    </row>
    <row r="24" spans="1:6" ht="16.5" hidden="1" thickBot="1" x14ac:dyDescent="0.3">
      <c r="A24" s="4"/>
      <c r="B24" s="263"/>
      <c r="C24" s="35"/>
      <c r="D24" s="252"/>
      <c r="E24" s="263"/>
      <c r="F24" s="252"/>
    </row>
    <row r="25" spans="1:6" ht="16.5" hidden="1" thickBot="1" x14ac:dyDescent="0.3">
      <c r="A25" s="4"/>
      <c r="B25" s="263"/>
      <c r="C25" s="35"/>
      <c r="D25" s="252"/>
      <c r="E25" s="263"/>
      <c r="F25" s="252"/>
    </row>
    <row r="26" spans="1:6" ht="16.5" hidden="1" thickBot="1" x14ac:dyDescent="0.3">
      <c r="A26" s="12"/>
      <c r="B26" s="264"/>
      <c r="C26" s="40"/>
      <c r="D26" s="253"/>
      <c r="E26" s="264"/>
      <c r="F26" s="253"/>
    </row>
    <row r="27" spans="1:6" ht="16.5" thickBot="1" x14ac:dyDescent="0.3">
      <c r="A27" s="60" t="s">
        <v>213</v>
      </c>
      <c r="B27" s="265">
        <f>SUM(B7:B26)</f>
        <v>28041.8</v>
      </c>
      <c r="C27" s="52"/>
      <c r="D27" s="262">
        <f>SUM(D8:D26)</f>
        <v>0</v>
      </c>
      <c r="E27" s="265">
        <f>SUM(E7:E26)</f>
        <v>28041.8</v>
      </c>
      <c r="F27" s="262">
        <f>SUM(F8:F26)</f>
        <v>0</v>
      </c>
    </row>
  </sheetData>
  <mergeCells count="3">
    <mergeCell ref="A1:F1"/>
    <mergeCell ref="A3:F3"/>
    <mergeCell ref="E4:F4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4"/>
  <sheetViews>
    <sheetView workbookViewId="0">
      <selection activeCell="G19" sqref="G19"/>
    </sheetView>
  </sheetViews>
  <sheetFormatPr defaultRowHeight="15.75" x14ac:dyDescent="0.25"/>
  <cols>
    <col min="1" max="1" width="6.5703125" style="15" customWidth="1"/>
    <col min="2" max="2" width="37.7109375" style="2" customWidth="1"/>
    <col min="3" max="6" width="18.85546875" style="2" customWidth="1"/>
    <col min="7" max="7" width="52.140625" style="2" customWidth="1"/>
    <col min="8" max="16384" width="9.140625" style="2"/>
  </cols>
  <sheetData>
    <row r="1" spans="1:6" x14ac:dyDescent="0.25">
      <c r="A1" s="354" t="s">
        <v>475</v>
      </c>
      <c r="B1" s="354"/>
      <c r="C1" s="354"/>
      <c r="D1" s="354"/>
      <c r="E1" s="354"/>
      <c r="F1" s="354"/>
    </row>
    <row r="3" spans="1:6" s="33" customFormat="1" ht="56.25" customHeight="1" x14ac:dyDescent="0.25">
      <c r="A3" s="383" t="s">
        <v>195</v>
      </c>
      <c r="B3" s="377"/>
      <c r="C3" s="377"/>
      <c r="D3" s="377"/>
      <c r="E3" s="377"/>
      <c r="F3" s="377"/>
    </row>
    <row r="4" spans="1:6" ht="40.5" customHeight="1" x14ac:dyDescent="0.25"/>
    <row r="5" spans="1:6" ht="16.5" thickBot="1" x14ac:dyDescent="0.3">
      <c r="F5" s="337" t="s">
        <v>588</v>
      </c>
    </row>
    <row r="6" spans="1:6" x14ac:dyDescent="0.25">
      <c r="A6" s="378" t="s">
        <v>5</v>
      </c>
      <c r="B6" s="380" t="s">
        <v>191</v>
      </c>
      <c r="C6" s="380" t="s">
        <v>192</v>
      </c>
      <c r="D6" s="380"/>
      <c r="E6" s="380"/>
      <c r="F6" s="382"/>
    </row>
    <row r="7" spans="1:6" s="33" customFormat="1" ht="32.25" thickBot="1" x14ac:dyDescent="0.3">
      <c r="A7" s="379"/>
      <c r="B7" s="381"/>
      <c r="C7" s="48" t="s">
        <v>476</v>
      </c>
      <c r="D7" s="48" t="s">
        <v>504</v>
      </c>
      <c r="E7" s="48" t="s">
        <v>551</v>
      </c>
      <c r="F7" s="49" t="s">
        <v>194</v>
      </c>
    </row>
    <row r="8" spans="1:6" s="15" customFormat="1" ht="16.5" thickBot="1" x14ac:dyDescent="0.3">
      <c r="A8" s="37" t="s">
        <v>150</v>
      </c>
      <c r="B8" s="38" t="s">
        <v>172</v>
      </c>
      <c r="C8" s="38" t="s">
        <v>151</v>
      </c>
      <c r="D8" s="38" t="s">
        <v>152</v>
      </c>
      <c r="E8" s="38" t="s">
        <v>153</v>
      </c>
      <c r="F8" s="39" t="s">
        <v>193</v>
      </c>
    </row>
    <row r="9" spans="1:6" x14ac:dyDescent="0.25">
      <c r="A9" s="36" t="s">
        <v>4</v>
      </c>
      <c r="B9" s="9" t="s">
        <v>587</v>
      </c>
      <c r="C9" s="160">
        <v>6350000</v>
      </c>
      <c r="D9" s="160">
        <v>6200000</v>
      </c>
      <c r="E9" s="160">
        <v>6043000</v>
      </c>
      <c r="F9" s="160">
        <f>SUM(C9:E9)</f>
        <v>18593000</v>
      </c>
    </row>
    <row r="10" spans="1:6" x14ac:dyDescent="0.25">
      <c r="A10" s="35" t="s">
        <v>6</v>
      </c>
      <c r="B10" s="4"/>
      <c r="C10" s="4"/>
      <c r="D10" s="4"/>
      <c r="E10" s="4"/>
      <c r="F10" s="4"/>
    </row>
    <row r="11" spans="1:6" x14ac:dyDescent="0.25">
      <c r="A11" s="35" t="s">
        <v>16</v>
      </c>
      <c r="B11" s="4"/>
      <c r="C11" s="4"/>
      <c r="D11" s="4"/>
      <c r="E11" s="4"/>
      <c r="F11" s="4"/>
    </row>
    <row r="12" spans="1:6" x14ac:dyDescent="0.25">
      <c r="A12" s="35" t="s">
        <v>21</v>
      </c>
      <c r="B12" s="4"/>
      <c r="C12" s="4"/>
      <c r="D12" s="4"/>
      <c r="E12" s="4"/>
      <c r="F12" s="4"/>
    </row>
    <row r="13" spans="1:6" ht="16.5" thickBot="1" x14ac:dyDescent="0.3">
      <c r="A13" s="40" t="s">
        <v>30</v>
      </c>
      <c r="B13" s="12"/>
      <c r="C13" s="12"/>
      <c r="D13" s="12"/>
      <c r="E13" s="12"/>
      <c r="F13" s="12"/>
    </row>
    <row r="14" spans="1:6" ht="16.5" thickBot="1" x14ac:dyDescent="0.3">
      <c r="A14" s="37" t="s">
        <v>53</v>
      </c>
      <c r="B14" s="10" t="s">
        <v>196</v>
      </c>
      <c r="C14" s="309">
        <f>SUM(C9:C13)</f>
        <v>6350000</v>
      </c>
      <c r="D14" s="309">
        <f>SUM(D9:D13)</f>
        <v>6200000</v>
      </c>
      <c r="E14" s="309">
        <f>SUM(E9:E13)</f>
        <v>6043000</v>
      </c>
      <c r="F14" s="32">
        <f>SUM(C14:E14)</f>
        <v>18593000</v>
      </c>
    </row>
  </sheetData>
  <mergeCells count="5">
    <mergeCell ref="A1:F1"/>
    <mergeCell ref="A6:A7"/>
    <mergeCell ref="B6:B7"/>
    <mergeCell ref="C6:F6"/>
    <mergeCell ref="A3:F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92"/>
  <sheetViews>
    <sheetView topLeftCell="A61" workbookViewId="0">
      <selection activeCell="C75" sqref="C75"/>
    </sheetView>
  </sheetViews>
  <sheetFormatPr defaultRowHeight="15.75" x14ac:dyDescent="0.25"/>
  <cols>
    <col min="1" max="1" width="6.85546875" style="14" customWidth="1"/>
    <col min="2" max="2" width="60.42578125" style="2" customWidth="1"/>
    <col min="3" max="3" width="20.85546875" style="256" bestFit="1" customWidth="1"/>
    <col min="4" max="16384" width="9.140625" style="2"/>
  </cols>
  <sheetData>
    <row r="1" spans="1:3" x14ac:dyDescent="0.25">
      <c r="A1" s="351" t="s">
        <v>440</v>
      </c>
      <c r="B1" s="351"/>
      <c r="C1" s="351"/>
    </row>
    <row r="2" spans="1:3" s="1" customFormat="1" x14ac:dyDescent="0.25">
      <c r="A2" s="352" t="s">
        <v>0</v>
      </c>
      <c r="B2" s="352"/>
      <c r="C2" s="352"/>
    </row>
    <row r="3" spans="1:3" s="1" customFormat="1" x14ac:dyDescent="0.25">
      <c r="A3" s="352" t="s">
        <v>441</v>
      </c>
      <c r="B3" s="352"/>
      <c r="C3" s="352"/>
    </row>
    <row r="4" spans="1:3" s="1" customFormat="1" x14ac:dyDescent="0.25">
      <c r="A4" s="352" t="s">
        <v>1</v>
      </c>
      <c r="B4" s="352"/>
      <c r="C4" s="352"/>
    </row>
    <row r="5" spans="1:3" s="1" customFormat="1" ht="16.5" thickBot="1" x14ac:dyDescent="0.3">
      <c r="A5" s="20" t="s">
        <v>88</v>
      </c>
      <c r="C5" s="257"/>
    </row>
    <row r="6" spans="1:3" s="3" customFormat="1" ht="16.5" thickBot="1" x14ac:dyDescent="0.3">
      <c r="A6" s="5">
        <v>1</v>
      </c>
      <c r="B6" s="6">
        <v>2</v>
      </c>
      <c r="C6" s="191">
        <v>3</v>
      </c>
    </row>
    <row r="7" spans="1:3" s="1" customFormat="1" ht="32.25" thickBot="1" x14ac:dyDescent="0.3">
      <c r="A7" s="8" t="s">
        <v>5</v>
      </c>
      <c r="B7" s="6" t="s">
        <v>3</v>
      </c>
      <c r="C7" s="244" t="s">
        <v>439</v>
      </c>
    </row>
    <row r="8" spans="1:3" s="1" customFormat="1" ht="16.5" thickBot="1" x14ac:dyDescent="0.3">
      <c r="A8" s="16" t="s">
        <v>4</v>
      </c>
      <c r="B8" s="10" t="s">
        <v>17</v>
      </c>
      <c r="C8" s="245">
        <f>SUM(C9:C14)</f>
        <v>245675.06999999998</v>
      </c>
    </row>
    <row r="9" spans="1:3" x14ac:dyDescent="0.25">
      <c r="A9" s="17" t="s">
        <v>7</v>
      </c>
      <c r="B9" s="9" t="s">
        <v>31</v>
      </c>
      <c r="C9" s="246">
        <v>93434.69</v>
      </c>
    </row>
    <row r="10" spans="1:3" x14ac:dyDescent="0.25">
      <c r="A10" s="18" t="s">
        <v>8</v>
      </c>
      <c r="B10" s="4" t="s">
        <v>32</v>
      </c>
      <c r="C10" s="246">
        <v>76435.8</v>
      </c>
    </row>
    <row r="11" spans="1:3" x14ac:dyDescent="0.25">
      <c r="A11" s="18" t="s">
        <v>9</v>
      </c>
      <c r="B11" s="4" t="s">
        <v>356</v>
      </c>
      <c r="C11" s="246">
        <v>71460.679999999993</v>
      </c>
    </row>
    <row r="12" spans="1:3" x14ac:dyDescent="0.25">
      <c r="A12" s="18" t="s">
        <v>10</v>
      </c>
      <c r="B12" s="4" t="s">
        <v>34</v>
      </c>
      <c r="C12" s="246">
        <v>4343.8999999999996</v>
      </c>
    </row>
    <row r="13" spans="1:3" x14ac:dyDescent="0.25">
      <c r="A13" s="18" t="s">
        <v>11</v>
      </c>
      <c r="B13" s="4" t="s">
        <v>35</v>
      </c>
      <c r="C13" s="246"/>
    </row>
    <row r="14" spans="1:3" ht="16.5" thickBot="1" x14ac:dyDescent="0.3">
      <c r="A14" s="19" t="s">
        <v>12</v>
      </c>
      <c r="B14" s="12" t="s">
        <v>396</v>
      </c>
      <c r="C14" s="246"/>
    </row>
    <row r="15" spans="1:3" s="1" customFormat="1" ht="16.5" thickBot="1" x14ac:dyDescent="0.3">
      <c r="A15" s="16" t="s">
        <v>6</v>
      </c>
      <c r="B15" s="10" t="s">
        <v>40</v>
      </c>
      <c r="C15" s="258">
        <f>SUM(C16:C17)</f>
        <v>90401.597999999998</v>
      </c>
    </row>
    <row r="16" spans="1:3" x14ac:dyDescent="0.25">
      <c r="A16" s="17" t="s">
        <v>13</v>
      </c>
      <c r="B16" s="9" t="s">
        <v>37</v>
      </c>
      <c r="C16" s="246"/>
    </row>
    <row r="17" spans="1:3" x14ac:dyDescent="0.25">
      <c r="A17" s="18" t="s">
        <v>14</v>
      </c>
      <c r="B17" s="4" t="s">
        <v>38</v>
      </c>
      <c r="C17" s="246">
        <v>90401.597999999998</v>
      </c>
    </row>
    <row r="18" spans="1:3" ht="16.5" thickBot="1" x14ac:dyDescent="0.3">
      <c r="A18" s="19" t="s">
        <v>15</v>
      </c>
      <c r="B18" s="12" t="s">
        <v>39</v>
      </c>
      <c r="C18" s="246"/>
    </row>
    <row r="19" spans="1:3" s="1" customFormat="1" ht="16.5" thickBot="1" x14ac:dyDescent="0.3">
      <c r="A19" s="16" t="s">
        <v>16</v>
      </c>
      <c r="B19" s="10" t="s">
        <v>44</v>
      </c>
      <c r="C19" s="258">
        <f>SUM(C20:C21)</f>
        <v>2000</v>
      </c>
    </row>
    <row r="20" spans="1:3" x14ac:dyDescent="0.25">
      <c r="A20" s="17" t="s">
        <v>18</v>
      </c>
      <c r="B20" s="9" t="s">
        <v>41</v>
      </c>
      <c r="C20" s="246"/>
    </row>
    <row r="21" spans="1:3" x14ac:dyDescent="0.25">
      <c r="A21" s="18" t="s">
        <v>19</v>
      </c>
      <c r="B21" s="4" t="s">
        <v>42</v>
      </c>
      <c r="C21" s="246">
        <v>2000</v>
      </c>
    </row>
    <row r="22" spans="1:3" ht="16.5" thickBot="1" x14ac:dyDescent="0.3">
      <c r="A22" s="19" t="s">
        <v>20</v>
      </c>
      <c r="B22" s="12" t="s">
        <v>43</v>
      </c>
      <c r="C22" s="246"/>
    </row>
    <row r="23" spans="1:3" s="1" customFormat="1" ht="16.5" thickBot="1" x14ac:dyDescent="0.3">
      <c r="A23" s="16" t="s">
        <v>21</v>
      </c>
      <c r="B23" s="10" t="s">
        <v>22</v>
      </c>
      <c r="C23" s="258">
        <f>C24+C27+C28+C29</f>
        <v>96372.648000000001</v>
      </c>
    </row>
    <row r="24" spans="1:3" x14ac:dyDescent="0.25">
      <c r="A24" s="17" t="s">
        <v>23</v>
      </c>
      <c r="B24" s="9" t="s">
        <v>575</v>
      </c>
      <c r="C24" s="246">
        <f>SUM(C25:C26)</f>
        <v>83990.648000000001</v>
      </c>
    </row>
    <row r="25" spans="1:3" x14ac:dyDescent="0.25">
      <c r="A25" s="18" t="s">
        <v>24</v>
      </c>
      <c r="B25" s="4" t="s">
        <v>574</v>
      </c>
      <c r="C25" s="246">
        <v>50</v>
      </c>
    </row>
    <row r="26" spans="1:3" x14ac:dyDescent="0.25">
      <c r="A26" s="18" t="s">
        <v>25</v>
      </c>
      <c r="B26" s="4" t="s">
        <v>48</v>
      </c>
      <c r="C26" s="246">
        <v>83940.648000000001</v>
      </c>
    </row>
    <row r="27" spans="1:3" x14ac:dyDescent="0.25">
      <c r="A27" s="18" t="s">
        <v>27</v>
      </c>
      <c r="B27" s="4" t="s">
        <v>49</v>
      </c>
      <c r="C27" s="246">
        <v>11000</v>
      </c>
    </row>
    <row r="28" spans="1:3" x14ac:dyDescent="0.25">
      <c r="A28" s="18" t="s">
        <v>28</v>
      </c>
      <c r="B28" s="4" t="s">
        <v>50</v>
      </c>
      <c r="C28" s="246">
        <v>2</v>
      </c>
    </row>
    <row r="29" spans="1:3" ht="16.5" thickBot="1" x14ac:dyDescent="0.3">
      <c r="A29" s="19" t="s">
        <v>29</v>
      </c>
      <c r="B29" s="12" t="s">
        <v>51</v>
      </c>
      <c r="C29" s="246">
        <v>1380</v>
      </c>
    </row>
    <row r="30" spans="1:3" s="1" customFormat="1" ht="16.5" thickBot="1" x14ac:dyDescent="0.3">
      <c r="A30" s="16" t="s">
        <v>30</v>
      </c>
      <c r="B30" s="285" t="s">
        <v>52</v>
      </c>
      <c r="C30" s="260">
        <v>32642.5</v>
      </c>
    </row>
    <row r="31" spans="1:3" s="1" customFormat="1" ht="16.5" thickBot="1" x14ac:dyDescent="0.3">
      <c r="A31" s="21" t="s">
        <v>53</v>
      </c>
      <c r="B31" s="22" t="s">
        <v>54</v>
      </c>
      <c r="C31" s="258">
        <f>'1.1.összevont'!D31-'1.3.önként'!C31-'1.4.államigazg'!C32</f>
        <v>0</v>
      </c>
    </row>
    <row r="32" spans="1:3" s="1" customFormat="1" ht="16.5" thickBot="1" x14ac:dyDescent="0.3">
      <c r="A32" s="16" t="s">
        <v>55</v>
      </c>
      <c r="B32" s="10" t="s">
        <v>161</v>
      </c>
      <c r="C32" s="258"/>
    </row>
    <row r="33" spans="1:3" s="1" customFormat="1" ht="16.5" thickBot="1" x14ac:dyDescent="0.3">
      <c r="A33" s="16" t="s">
        <v>57</v>
      </c>
      <c r="B33" s="10" t="s">
        <v>58</v>
      </c>
      <c r="C33" s="258">
        <f>'1.1.összevont'!D33-'1.3.önként'!C33-'1.4.államigazg'!C34</f>
        <v>0</v>
      </c>
    </row>
    <row r="34" spans="1:3" s="1" customFormat="1" ht="16.5" thickBot="1" x14ac:dyDescent="0.3">
      <c r="A34" s="16" t="s">
        <v>59</v>
      </c>
      <c r="B34" s="10" t="s">
        <v>138</v>
      </c>
      <c r="C34" s="258">
        <f>C8+C15+C19+C23+C30+C31+C32+C33</f>
        <v>467091.81599999993</v>
      </c>
    </row>
    <row r="35" spans="1:3" s="1" customFormat="1" ht="16.5" thickBot="1" x14ac:dyDescent="0.3">
      <c r="A35" s="16" t="s">
        <v>60</v>
      </c>
      <c r="B35" s="10" t="s">
        <v>61</v>
      </c>
      <c r="C35" s="258">
        <f>SUM(C36:C38)</f>
        <v>0</v>
      </c>
    </row>
    <row r="36" spans="1:3" x14ac:dyDescent="0.25">
      <c r="A36" s="17" t="s">
        <v>62</v>
      </c>
      <c r="B36" s="9" t="s">
        <v>63</v>
      </c>
      <c r="C36" s="246"/>
    </row>
    <row r="37" spans="1:3" x14ac:dyDescent="0.25">
      <c r="A37" s="18" t="s">
        <v>64</v>
      </c>
      <c r="B37" s="4" t="s">
        <v>65</v>
      </c>
      <c r="C37" s="246"/>
    </row>
    <row r="38" spans="1:3" ht="16.5" thickBot="1" x14ac:dyDescent="0.3">
      <c r="A38" s="19" t="s">
        <v>66</v>
      </c>
      <c r="B38" s="12" t="s">
        <v>67</v>
      </c>
      <c r="C38" s="246"/>
    </row>
    <row r="39" spans="1:3" s="1" customFormat="1" ht="16.5" thickBot="1" x14ac:dyDescent="0.3">
      <c r="A39" s="16" t="s">
        <v>68</v>
      </c>
      <c r="B39" s="10" t="s">
        <v>69</v>
      </c>
      <c r="C39" s="258"/>
    </row>
    <row r="40" spans="1:3" s="1" customFormat="1" ht="16.5" thickBot="1" x14ac:dyDescent="0.3">
      <c r="A40" s="16" t="s">
        <v>70</v>
      </c>
      <c r="B40" s="10" t="s">
        <v>71</v>
      </c>
      <c r="C40" s="258">
        <v>17671.473000000002</v>
      </c>
    </row>
    <row r="41" spans="1:3" s="1" customFormat="1" ht="16.5" thickBot="1" x14ac:dyDescent="0.3">
      <c r="A41" s="16" t="s">
        <v>72</v>
      </c>
      <c r="B41" s="10" t="s">
        <v>73</v>
      </c>
      <c r="C41" s="258"/>
    </row>
    <row r="42" spans="1:3" x14ac:dyDescent="0.25">
      <c r="A42" s="17" t="s">
        <v>74</v>
      </c>
      <c r="B42" s="9" t="s">
        <v>75</v>
      </c>
      <c r="C42" s="246"/>
    </row>
    <row r="43" spans="1:3" ht="16.5" thickBot="1" x14ac:dyDescent="0.3">
      <c r="A43" s="19" t="s">
        <v>76</v>
      </c>
      <c r="B43" s="12" t="s">
        <v>77</v>
      </c>
      <c r="C43" s="246"/>
    </row>
    <row r="44" spans="1:3" s="1" customFormat="1" ht="16.5" thickBot="1" x14ac:dyDescent="0.3">
      <c r="A44" s="16" t="s">
        <v>78</v>
      </c>
      <c r="B44" s="10" t="s">
        <v>79</v>
      </c>
      <c r="C44" s="258">
        <f>'1.1.összevont'!D44-'1.3.önként'!C44-'1.4.államigazg'!C45</f>
        <v>0</v>
      </c>
    </row>
    <row r="45" spans="1:3" s="1" customFormat="1" ht="16.5" thickBot="1" x14ac:dyDescent="0.3">
      <c r="A45" s="16" t="s">
        <v>80</v>
      </c>
      <c r="B45" s="10" t="s">
        <v>81</v>
      </c>
      <c r="C45" s="258">
        <f>'1.1.összevont'!D45-'1.3.önként'!C45-'1.4.államigazg'!C46</f>
        <v>0</v>
      </c>
    </row>
    <row r="46" spans="1:3" s="1" customFormat="1" ht="16.5" thickBot="1" x14ac:dyDescent="0.3">
      <c r="A46" s="16" t="s">
        <v>82</v>
      </c>
      <c r="B46" s="10" t="s">
        <v>83</v>
      </c>
      <c r="C46" s="258">
        <f>'1.1.összevont'!D46-'1.3.önként'!C46-'1.4.államigazg'!C47</f>
        <v>0</v>
      </c>
    </row>
    <row r="47" spans="1:3" s="1" customFormat="1" ht="16.5" thickBot="1" x14ac:dyDescent="0.3">
      <c r="A47" s="16" t="s">
        <v>84</v>
      </c>
      <c r="B47" s="10" t="s">
        <v>85</v>
      </c>
      <c r="C47" s="258">
        <f>C35+C39+C40+C41+C44+C45+C46</f>
        <v>17671.473000000002</v>
      </c>
    </row>
    <row r="48" spans="1:3" s="1" customFormat="1" ht="32.25" thickBot="1" x14ac:dyDescent="0.3">
      <c r="A48" s="16" t="s">
        <v>86</v>
      </c>
      <c r="B48" s="13" t="s">
        <v>87</v>
      </c>
      <c r="C48" s="259">
        <f>C34+C47</f>
        <v>484763.28899999993</v>
      </c>
    </row>
    <row r="50" spans="1:3" x14ac:dyDescent="0.25">
      <c r="A50" s="352" t="s">
        <v>89</v>
      </c>
      <c r="B50" s="352"/>
      <c r="C50" s="352"/>
    </row>
    <row r="51" spans="1:3" ht="16.5" thickBot="1" x14ac:dyDescent="0.3">
      <c r="A51" s="20" t="s">
        <v>90</v>
      </c>
      <c r="B51" s="1"/>
      <c r="C51" s="257"/>
    </row>
    <row r="52" spans="1:3" ht="32.25" thickBot="1" x14ac:dyDescent="0.3">
      <c r="A52" s="26" t="s">
        <v>5</v>
      </c>
      <c r="B52" s="10" t="s">
        <v>91</v>
      </c>
      <c r="C52" s="245" t="s">
        <v>439</v>
      </c>
    </row>
    <row r="53" spans="1:3" ht="16.5" thickBot="1" x14ac:dyDescent="0.3">
      <c r="A53" s="16" t="s">
        <v>4</v>
      </c>
      <c r="B53" s="10" t="s">
        <v>109</v>
      </c>
      <c r="C53" s="245">
        <f>C54+C55+C56+C57+C58+C64</f>
        <v>460498.08599999995</v>
      </c>
    </row>
    <row r="54" spans="1:3" x14ac:dyDescent="0.25">
      <c r="A54" s="23" t="s">
        <v>7</v>
      </c>
      <c r="B54" s="9" t="s">
        <v>92</v>
      </c>
      <c r="C54" s="251">
        <v>263738.98599999998</v>
      </c>
    </row>
    <row r="55" spans="1:3" x14ac:dyDescent="0.25">
      <c r="A55" s="24" t="s">
        <v>8</v>
      </c>
      <c r="B55" s="4" t="s">
        <v>93</v>
      </c>
      <c r="C55" s="251">
        <v>44970.728000000003</v>
      </c>
    </row>
    <row r="56" spans="1:3" x14ac:dyDescent="0.25">
      <c r="A56" s="24" t="s">
        <v>9</v>
      </c>
      <c r="B56" s="4" t="s">
        <v>94</v>
      </c>
      <c r="C56" s="251">
        <v>130777.272</v>
      </c>
    </row>
    <row r="57" spans="1:3" x14ac:dyDescent="0.25">
      <c r="A57" s="24" t="s">
        <v>10</v>
      </c>
      <c r="B57" s="4" t="s">
        <v>310</v>
      </c>
      <c r="C57" s="251">
        <v>2000</v>
      </c>
    </row>
    <row r="58" spans="1:3" x14ac:dyDescent="0.25">
      <c r="A58" s="24" t="s">
        <v>11</v>
      </c>
      <c r="B58" s="4" t="s">
        <v>96</v>
      </c>
      <c r="C58" s="251">
        <f>SUM(C59:C63)</f>
        <v>19011.099999999999</v>
      </c>
    </row>
    <row r="59" spans="1:3" x14ac:dyDescent="0.25">
      <c r="A59" s="24" t="s">
        <v>12</v>
      </c>
      <c r="B59" s="25" t="s">
        <v>97</v>
      </c>
      <c r="C59" s="251"/>
    </row>
    <row r="60" spans="1:3" x14ac:dyDescent="0.25">
      <c r="A60" s="24" t="s">
        <v>98</v>
      </c>
      <c r="B60" s="4" t="s">
        <v>104</v>
      </c>
      <c r="C60" s="251"/>
    </row>
    <row r="61" spans="1:3" x14ac:dyDescent="0.25">
      <c r="A61" s="24" t="s">
        <v>99</v>
      </c>
      <c r="B61" s="4" t="s">
        <v>139</v>
      </c>
      <c r="C61" s="251"/>
    </row>
    <row r="62" spans="1:3" x14ac:dyDescent="0.25">
      <c r="A62" s="24" t="s">
        <v>100</v>
      </c>
      <c r="B62" s="4" t="s">
        <v>140</v>
      </c>
      <c r="C62" s="251">
        <v>2903</v>
      </c>
    </row>
    <row r="63" spans="1:3" x14ac:dyDescent="0.25">
      <c r="A63" s="24" t="s">
        <v>101</v>
      </c>
      <c r="B63" s="4" t="s">
        <v>141</v>
      </c>
      <c r="C63" s="251">
        <v>16108.1</v>
      </c>
    </row>
    <row r="64" spans="1:3" x14ac:dyDescent="0.25">
      <c r="A64" s="24" t="s">
        <v>102</v>
      </c>
      <c r="B64" s="4" t="s">
        <v>103</v>
      </c>
      <c r="C64" s="251">
        <f>SUM(C65:C66)</f>
        <v>0</v>
      </c>
    </row>
    <row r="65" spans="1:3" x14ac:dyDescent="0.25">
      <c r="A65" s="24" t="s">
        <v>105</v>
      </c>
      <c r="B65" s="4" t="s">
        <v>106</v>
      </c>
      <c r="C65" s="251"/>
    </row>
    <row r="66" spans="1:3" ht="16.5" thickBot="1" x14ac:dyDescent="0.3">
      <c r="A66" s="27" t="s">
        <v>107</v>
      </c>
      <c r="B66" s="12" t="s">
        <v>108</v>
      </c>
      <c r="C66" s="251"/>
    </row>
    <row r="67" spans="1:3" ht="16.5" thickBot="1" x14ac:dyDescent="0.3">
      <c r="A67" s="16" t="s">
        <v>6</v>
      </c>
      <c r="B67" s="10" t="s">
        <v>122</v>
      </c>
      <c r="C67" s="258">
        <f>C68+C70+C72</f>
        <v>8913.880000000001</v>
      </c>
    </row>
    <row r="68" spans="1:3" x14ac:dyDescent="0.25">
      <c r="A68" s="23" t="s">
        <v>13</v>
      </c>
      <c r="B68" s="9" t="s">
        <v>110</v>
      </c>
      <c r="C68" s="251">
        <v>6613.18</v>
      </c>
    </row>
    <row r="69" spans="1:3" x14ac:dyDescent="0.25">
      <c r="A69" s="24" t="s">
        <v>111</v>
      </c>
      <c r="B69" s="4" t="s">
        <v>112</v>
      </c>
      <c r="C69" s="251"/>
    </row>
    <row r="70" spans="1:3" x14ac:dyDescent="0.25">
      <c r="A70" s="24" t="s">
        <v>15</v>
      </c>
      <c r="B70" s="4" t="s">
        <v>113</v>
      </c>
      <c r="C70" s="251">
        <v>1300.7</v>
      </c>
    </row>
    <row r="71" spans="1:3" x14ac:dyDescent="0.25">
      <c r="A71" s="24" t="s">
        <v>114</v>
      </c>
      <c r="B71" s="4" t="s">
        <v>115</v>
      </c>
      <c r="C71" s="251"/>
    </row>
    <row r="72" spans="1:3" x14ac:dyDescent="0.25">
      <c r="A72" s="24" t="s">
        <v>116</v>
      </c>
      <c r="B72" s="4" t="s">
        <v>117</v>
      </c>
      <c r="C72" s="251">
        <f>SUM(C73:C74)</f>
        <v>1000</v>
      </c>
    </row>
    <row r="73" spans="1:3" x14ac:dyDescent="0.25">
      <c r="A73" s="24" t="s">
        <v>118</v>
      </c>
      <c r="B73" s="4" t="s">
        <v>119</v>
      </c>
      <c r="C73" s="251"/>
    </row>
    <row r="74" spans="1:3" ht="16.5" thickBot="1" x14ac:dyDescent="0.3">
      <c r="A74" s="27" t="s">
        <v>120</v>
      </c>
      <c r="B74" s="12" t="s">
        <v>121</v>
      </c>
      <c r="C74" s="251">
        <v>1000</v>
      </c>
    </row>
    <row r="75" spans="1:3" ht="16.5" thickBot="1" x14ac:dyDescent="0.3">
      <c r="A75" s="16" t="s">
        <v>16</v>
      </c>
      <c r="B75" s="10" t="s">
        <v>123</v>
      </c>
      <c r="C75" s="258">
        <f>C53+C67</f>
        <v>469411.96599999996</v>
      </c>
    </row>
    <row r="76" spans="1:3" ht="16.5" thickBot="1" x14ac:dyDescent="0.3">
      <c r="A76" s="16" t="s">
        <v>21</v>
      </c>
      <c r="B76" s="10" t="s">
        <v>127</v>
      </c>
      <c r="C76" s="258">
        <f>SUM(C77:C79)</f>
        <v>5320</v>
      </c>
    </row>
    <row r="77" spans="1:3" x14ac:dyDescent="0.25">
      <c r="A77" s="23" t="s">
        <v>23</v>
      </c>
      <c r="B77" s="9" t="s">
        <v>124</v>
      </c>
      <c r="C77" s="251">
        <v>5320</v>
      </c>
    </row>
    <row r="78" spans="1:3" x14ac:dyDescent="0.25">
      <c r="A78" s="24" t="s">
        <v>27</v>
      </c>
      <c r="B78" s="4" t="s">
        <v>125</v>
      </c>
      <c r="C78" s="251"/>
    </row>
    <row r="79" spans="1:3" ht="16.5" thickBot="1" x14ac:dyDescent="0.3">
      <c r="A79" s="27" t="s">
        <v>28</v>
      </c>
      <c r="B79" s="12" t="s">
        <v>126</v>
      </c>
      <c r="C79" s="251"/>
    </row>
    <row r="80" spans="1:3" ht="16.5" thickBot="1" x14ac:dyDescent="0.3">
      <c r="A80" s="30" t="s">
        <v>30</v>
      </c>
      <c r="B80" s="31" t="s">
        <v>128</v>
      </c>
      <c r="C80" s="260"/>
    </row>
    <row r="81" spans="1:3" ht="16.5" thickBot="1" x14ac:dyDescent="0.3">
      <c r="A81" s="16" t="s">
        <v>53</v>
      </c>
      <c r="B81" s="10" t="s">
        <v>131</v>
      </c>
      <c r="C81" s="258">
        <f>C82</f>
        <v>10031.323</v>
      </c>
    </row>
    <row r="82" spans="1:3" ht="16.5" thickBot="1" x14ac:dyDescent="0.3">
      <c r="A82" s="28" t="s">
        <v>129</v>
      </c>
      <c r="B82" s="29" t="s">
        <v>130</v>
      </c>
      <c r="C82" s="255">
        <v>10031.323</v>
      </c>
    </row>
    <row r="83" spans="1:3" ht="16.5" thickBot="1" x14ac:dyDescent="0.3">
      <c r="A83" s="16" t="s">
        <v>55</v>
      </c>
      <c r="B83" s="10" t="s">
        <v>132</v>
      </c>
      <c r="C83" s="258"/>
    </row>
    <row r="84" spans="1:3" ht="16.5" thickBot="1" x14ac:dyDescent="0.3">
      <c r="A84" s="16" t="s">
        <v>57</v>
      </c>
      <c r="B84" s="10" t="s">
        <v>133</v>
      </c>
      <c r="C84" s="258"/>
    </row>
    <row r="85" spans="1:3" ht="16.5" thickBot="1" x14ac:dyDescent="0.3">
      <c r="A85" s="16" t="s">
        <v>134</v>
      </c>
      <c r="B85" s="10" t="s">
        <v>135</v>
      </c>
      <c r="C85" s="258"/>
    </row>
    <row r="86" spans="1:3" ht="16.5" thickBot="1" x14ac:dyDescent="0.3">
      <c r="A86" s="16" t="s">
        <v>60</v>
      </c>
      <c r="B86" s="10" t="s">
        <v>136</v>
      </c>
      <c r="C86" s="258">
        <f>C76+C80+C81+C83+C84+C85</f>
        <v>15351.323</v>
      </c>
    </row>
    <row r="87" spans="1:3" ht="16.5" thickBot="1" x14ac:dyDescent="0.3">
      <c r="A87" s="16" t="s">
        <v>68</v>
      </c>
      <c r="B87" s="10" t="s">
        <v>137</v>
      </c>
      <c r="C87" s="258">
        <f>C75+C86</f>
        <v>484763.28899999993</v>
      </c>
    </row>
    <row r="89" spans="1:3" s="33" customFormat="1" ht="29.25" customHeight="1" x14ac:dyDescent="0.25">
      <c r="A89" s="350" t="s">
        <v>142</v>
      </c>
      <c r="B89" s="350"/>
      <c r="C89" s="350"/>
    </row>
    <row r="90" spans="1:3" ht="16.5" thickBot="1" x14ac:dyDescent="0.3">
      <c r="A90" s="20" t="s">
        <v>143</v>
      </c>
      <c r="B90" s="1"/>
      <c r="C90" s="243"/>
    </row>
    <row r="91" spans="1:3" ht="32.25" thickBot="1" x14ac:dyDescent="0.3">
      <c r="A91" s="16" t="s">
        <v>4</v>
      </c>
      <c r="B91" s="13" t="s">
        <v>144</v>
      </c>
      <c r="C91" s="245">
        <f>C34-C75</f>
        <v>-2320.1500000000233</v>
      </c>
    </row>
    <row r="92" spans="1:3" ht="32.25" thickBot="1" x14ac:dyDescent="0.3">
      <c r="A92" s="16" t="s">
        <v>6</v>
      </c>
      <c r="B92" s="13" t="s">
        <v>145</v>
      </c>
      <c r="C92" s="245">
        <f>C47-C86</f>
        <v>2320.1500000000015</v>
      </c>
    </row>
  </sheetData>
  <mergeCells count="6">
    <mergeCell ref="A89:C89"/>
    <mergeCell ref="A1:C1"/>
    <mergeCell ref="A2:C2"/>
    <mergeCell ref="A3:C3"/>
    <mergeCell ref="A4:C4"/>
    <mergeCell ref="A50:C50"/>
  </mergeCells>
  <pageMargins left="0.70866141732283472" right="0.70866141732283472" top="0.74803149606299213" bottom="0.74803149606299213" header="0.31496062992125984" footer="0.31496062992125984"/>
  <pageSetup paperSize="9" scale="94" fitToHeight="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4"/>
  <sheetViews>
    <sheetView workbookViewId="0">
      <selection activeCell="C10" sqref="C10"/>
    </sheetView>
  </sheetViews>
  <sheetFormatPr defaultRowHeight="15.75" x14ac:dyDescent="0.25"/>
  <cols>
    <col min="1" max="1" width="5.28515625" style="34" bestFit="1" customWidth="1"/>
    <col min="2" max="2" width="60.140625" style="2" customWidth="1"/>
    <col min="3" max="3" width="13.85546875" style="2" customWidth="1"/>
    <col min="4" max="16384" width="9.140625" style="2"/>
  </cols>
  <sheetData>
    <row r="1" spans="1:3" x14ac:dyDescent="0.25">
      <c r="A1" s="354" t="s">
        <v>477</v>
      </c>
      <c r="B1" s="354"/>
      <c r="C1" s="354"/>
    </row>
    <row r="3" spans="1:3" s="1" customFormat="1" ht="58.5" customHeight="1" x14ac:dyDescent="0.25">
      <c r="A3" s="384" t="s">
        <v>197</v>
      </c>
      <c r="B3" s="385"/>
      <c r="C3" s="385"/>
    </row>
    <row r="5" spans="1:3" ht="16.5" thickBot="1" x14ac:dyDescent="0.3">
      <c r="C5" s="2" t="s">
        <v>580</v>
      </c>
    </row>
    <row r="6" spans="1:3" s="1" customFormat="1" ht="48" thickBot="1" x14ac:dyDescent="0.3">
      <c r="A6" s="44" t="s">
        <v>5</v>
      </c>
      <c r="B6" s="6" t="s">
        <v>3</v>
      </c>
      <c r="C6" s="45" t="s">
        <v>447</v>
      </c>
    </row>
    <row r="7" spans="1:3" s="1" customFormat="1" ht="16.5" thickBot="1" x14ac:dyDescent="0.3">
      <c r="A7" s="55" t="s">
        <v>150</v>
      </c>
      <c r="B7" s="38" t="s">
        <v>172</v>
      </c>
      <c r="C7" s="56" t="s">
        <v>151</v>
      </c>
    </row>
    <row r="8" spans="1:3" x14ac:dyDescent="0.25">
      <c r="A8" s="36" t="s">
        <v>4</v>
      </c>
      <c r="B8" s="9" t="s">
        <v>198</v>
      </c>
      <c r="C8" s="160">
        <f>106000000+50000+2000</f>
        <v>106052000</v>
      </c>
    </row>
    <row r="9" spans="1:3" ht="31.5" x14ac:dyDescent="0.25">
      <c r="A9" s="35" t="s">
        <v>6</v>
      </c>
      <c r="B9" s="25" t="s">
        <v>199</v>
      </c>
      <c r="C9" s="161">
        <v>19800000</v>
      </c>
    </row>
    <row r="10" spans="1:3" x14ac:dyDescent="0.25">
      <c r="A10" s="35" t="s">
        <v>16</v>
      </c>
      <c r="B10" s="4" t="s">
        <v>200</v>
      </c>
      <c r="C10" s="161"/>
    </row>
    <row r="11" spans="1:3" ht="31.5" x14ac:dyDescent="0.25">
      <c r="A11" s="35" t="s">
        <v>21</v>
      </c>
      <c r="B11" s="25" t="s">
        <v>204</v>
      </c>
      <c r="C11" s="161"/>
    </row>
    <row r="12" spans="1:3" x14ac:dyDescent="0.25">
      <c r="A12" s="35" t="s">
        <v>30</v>
      </c>
      <c r="B12" s="4" t="s">
        <v>201</v>
      </c>
      <c r="C12" s="161">
        <f>445000+210000+260000</f>
        <v>915000</v>
      </c>
    </row>
    <row r="13" spans="1:3" ht="16.5" thickBot="1" x14ac:dyDescent="0.3">
      <c r="A13" s="40" t="s">
        <v>53</v>
      </c>
      <c r="B13" s="53" t="s">
        <v>203</v>
      </c>
      <c r="C13" s="162"/>
    </row>
    <row r="14" spans="1:3" s="1" customFormat="1" ht="16.5" thickBot="1" x14ac:dyDescent="0.3">
      <c r="A14" s="37" t="s">
        <v>55</v>
      </c>
      <c r="B14" s="10" t="s">
        <v>202</v>
      </c>
      <c r="C14" s="32">
        <f>SUM(C8:C12)</f>
        <v>126767000</v>
      </c>
    </row>
  </sheetData>
  <mergeCells count="2">
    <mergeCell ref="A1:C1"/>
    <mergeCell ref="A3:C3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A2" sqref="A2"/>
    </sheetView>
  </sheetViews>
  <sheetFormatPr defaultRowHeight="15.75" x14ac:dyDescent="0.25"/>
  <cols>
    <col min="1" max="1" width="9.140625" style="2"/>
    <col min="2" max="2" width="59" style="2" customWidth="1"/>
    <col min="3" max="3" width="13.140625" style="2" bestFit="1" customWidth="1"/>
    <col min="4" max="16384" width="9.140625" style="2"/>
  </cols>
  <sheetData>
    <row r="1" spans="1:3" x14ac:dyDescent="0.25">
      <c r="A1" s="354" t="s">
        <v>478</v>
      </c>
      <c r="B1" s="354"/>
      <c r="C1" s="354"/>
    </row>
    <row r="3" spans="1:3" ht="30.75" customHeight="1" x14ac:dyDescent="0.25">
      <c r="A3" s="384" t="s">
        <v>479</v>
      </c>
      <c r="B3" s="385"/>
      <c r="C3" s="385"/>
    </row>
    <row r="5" spans="1:3" ht="16.5" thickBot="1" x14ac:dyDescent="0.3">
      <c r="A5" s="34"/>
      <c r="C5" s="2" t="s">
        <v>2</v>
      </c>
    </row>
    <row r="6" spans="1:3" ht="48" thickBot="1" x14ac:dyDescent="0.3">
      <c r="A6" s="44" t="s">
        <v>5</v>
      </c>
      <c r="B6" s="6" t="s">
        <v>205</v>
      </c>
      <c r="C6" s="45" t="s">
        <v>206</v>
      </c>
    </row>
    <row r="7" spans="1:3" ht="16.5" thickBot="1" x14ac:dyDescent="0.3">
      <c r="A7" s="55" t="s">
        <v>150</v>
      </c>
      <c r="B7" s="38" t="s">
        <v>172</v>
      </c>
      <c r="C7" s="56" t="s">
        <v>151</v>
      </c>
    </row>
    <row r="8" spans="1:3" x14ac:dyDescent="0.25">
      <c r="A8" s="36" t="s">
        <v>4</v>
      </c>
      <c r="B8" s="9"/>
      <c r="C8" s="9"/>
    </row>
    <row r="9" spans="1:3" x14ac:dyDescent="0.25">
      <c r="A9" s="35" t="s">
        <v>6</v>
      </c>
      <c r="B9" s="25"/>
      <c r="C9" s="4"/>
    </row>
    <row r="10" spans="1:3" x14ac:dyDescent="0.25">
      <c r="A10" s="35" t="s">
        <v>16</v>
      </c>
      <c r="B10" s="4"/>
      <c r="C10" s="4"/>
    </row>
    <row r="11" spans="1:3" x14ac:dyDescent="0.25">
      <c r="A11" s="35" t="s">
        <v>21</v>
      </c>
      <c r="B11" s="25"/>
      <c r="C11" s="4"/>
    </row>
    <row r="12" spans="1:3" x14ac:dyDescent="0.25">
      <c r="A12" s="35" t="s">
        <v>30</v>
      </c>
      <c r="B12" s="4"/>
      <c r="C12" s="4"/>
    </row>
    <row r="13" spans="1:3" ht="16.5" thickBot="1" x14ac:dyDescent="0.3">
      <c r="A13" s="40" t="s">
        <v>53</v>
      </c>
      <c r="B13" s="53"/>
      <c r="C13" s="12"/>
    </row>
    <row r="14" spans="1:3" ht="42" customHeight="1" thickBot="1" x14ac:dyDescent="0.3">
      <c r="A14" s="37" t="s">
        <v>55</v>
      </c>
      <c r="B14" s="13" t="s">
        <v>207</v>
      </c>
      <c r="C14" s="11"/>
    </row>
  </sheetData>
  <mergeCells count="2">
    <mergeCell ref="A1:C1"/>
    <mergeCell ref="A3:C3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82"/>
  <sheetViews>
    <sheetView view="pageBreakPreview" topLeftCell="A17" zoomScaleNormal="100" zoomScaleSheetLayoutView="100" workbookViewId="0">
      <selection activeCell="O29" sqref="O29"/>
    </sheetView>
  </sheetViews>
  <sheetFormatPr defaultRowHeight="15.75" x14ac:dyDescent="0.25"/>
  <cols>
    <col min="1" max="1" width="42.28515625" style="2" customWidth="1"/>
    <col min="2" max="2" width="13.7109375" style="2" bestFit="1" customWidth="1"/>
    <col min="3" max="3" width="12.140625" style="2" bestFit="1" customWidth="1"/>
    <col min="4" max="4" width="10.5703125" style="2" customWidth="1"/>
    <col min="5" max="5" width="13.7109375" style="2" bestFit="1" customWidth="1"/>
    <col min="6" max="16384" width="9.140625" style="2"/>
  </cols>
  <sheetData>
    <row r="1" spans="1:5" x14ac:dyDescent="0.25">
      <c r="A1" s="354" t="s">
        <v>480</v>
      </c>
      <c r="B1" s="354"/>
      <c r="C1" s="354"/>
      <c r="D1" s="354"/>
      <c r="E1" s="354"/>
    </row>
    <row r="3" spans="1:5" s="47" customFormat="1" ht="51" customHeight="1" x14ac:dyDescent="0.25">
      <c r="A3" s="386" t="s">
        <v>216</v>
      </c>
      <c r="B3" s="355"/>
      <c r="C3" s="355"/>
      <c r="D3" s="355"/>
      <c r="E3" s="355"/>
    </row>
    <row r="5" spans="1:5" ht="16.5" thickBot="1" x14ac:dyDescent="0.3">
      <c r="A5" s="2" t="s">
        <v>507</v>
      </c>
    </row>
    <row r="6" spans="1:5" s="47" customFormat="1" ht="26.25" customHeight="1" thickBot="1" x14ac:dyDescent="0.3">
      <c r="A6" s="61" t="s">
        <v>217</v>
      </c>
      <c r="B6" s="6" t="s">
        <v>476</v>
      </c>
      <c r="C6" s="6" t="s">
        <v>504</v>
      </c>
      <c r="D6" s="6" t="s">
        <v>505</v>
      </c>
      <c r="E6" s="7" t="s">
        <v>213</v>
      </c>
    </row>
    <row r="7" spans="1:5" x14ac:dyDescent="0.25">
      <c r="A7" s="9" t="s">
        <v>218</v>
      </c>
      <c r="B7" s="160"/>
      <c r="C7" s="160"/>
      <c r="D7" s="160"/>
      <c r="E7" s="160">
        <f>SUM(B7:D7)</f>
        <v>0</v>
      </c>
    </row>
    <row r="8" spans="1:5" x14ac:dyDescent="0.25">
      <c r="A8" s="4" t="s">
        <v>219</v>
      </c>
      <c r="B8" s="161"/>
      <c r="C8" s="161"/>
      <c r="D8" s="161"/>
      <c r="E8" s="160">
        <f t="shared" ref="E8:E14" si="0">SUM(B8:D8)</f>
        <v>0</v>
      </c>
    </row>
    <row r="9" spans="1:5" x14ac:dyDescent="0.25">
      <c r="A9" s="4" t="s">
        <v>220</v>
      </c>
      <c r="B9" s="161">
        <v>48206528</v>
      </c>
      <c r="C9" s="161"/>
      <c r="D9" s="161"/>
      <c r="E9" s="160">
        <f t="shared" si="0"/>
        <v>48206528</v>
      </c>
    </row>
    <row r="10" spans="1:5" x14ac:dyDescent="0.25">
      <c r="A10" s="4" t="s">
        <v>221</v>
      </c>
      <c r="B10" s="161"/>
      <c r="C10" s="161"/>
      <c r="D10" s="161"/>
      <c r="E10" s="160">
        <f t="shared" si="0"/>
        <v>0</v>
      </c>
    </row>
    <row r="11" spans="1:5" x14ac:dyDescent="0.25">
      <c r="A11" s="4" t="s">
        <v>222</v>
      </c>
      <c r="B11" s="161"/>
      <c r="C11" s="161"/>
      <c r="D11" s="161"/>
      <c r="E11" s="160">
        <f t="shared" si="0"/>
        <v>0</v>
      </c>
    </row>
    <row r="12" spans="1:5" x14ac:dyDescent="0.25">
      <c r="A12" s="4" t="s">
        <v>368</v>
      </c>
      <c r="B12" s="161">
        <v>48126533</v>
      </c>
      <c r="C12" s="161"/>
      <c r="D12" s="161"/>
      <c r="E12" s="160">
        <f t="shared" si="0"/>
        <v>48126533</v>
      </c>
    </row>
    <row r="13" spans="1:5" ht="16.5" thickBot="1" x14ac:dyDescent="0.3">
      <c r="A13" s="12"/>
      <c r="B13" s="162"/>
      <c r="C13" s="162"/>
      <c r="D13" s="162"/>
      <c r="E13" s="311">
        <f t="shared" si="0"/>
        <v>0</v>
      </c>
    </row>
    <row r="14" spans="1:5" ht="16.5" thickBot="1" x14ac:dyDescent="0.3">
      <c r="A14" s="42" t="s">
        <v>223</v>
      </c>
      <c r="B14" s="309">
        <f>SUM(B7:B13)</f>
        <v>96333061</v>
      </c>
      <c r="C14" s="309">
        <f>SUM(C7:C13)</f>
        <v>0</v>
      </c>
      <c r="D14" s="310"/>
      <c r="E14" s="314">
        <f t="shared" si="0"/>
        <v>96333061</v>
      </c>
    </row>
    <row r="15" spans="1:5" ht="16.5" thickBot="1" x14ac:dyDescent="0.3"/>
    <row r="16" spans="1:5" s="46" customFormat="1" ht="26.25" customHeight="1" thickBot="1" x14ac:dyDescent="0.3">
      <c r="A16" s="61" t="s">
        <v>224</v>
      </c>
      <c r="B16" s="6" t="s">
        <v>476</v>
      </c>
      <c r="C16" s="6" t="s">
        <v>504</v>
      </c>
      <c r="D16" s="6" t="s">
        <v>505</v>
      </c>
      <c r="E16" s="7" t="s">
        <v>213</v>
      </c>
    </row>
    <row r="17" spans="1:5" x14ac:dyDescent="0.25">
      <c r="A17" s="9" t="s">
        <v>225</v>
      </c>
      <c r="B17" s="160"/>
      <c r="C17" s="160"/>
      <c r="D17" s="160"/>
      <c r="E17" s="160"/>
    </row>
    <row r="18" spans="1:5" x14ac:dyDescent="0.25">
      <c r="A18" s="4" t="s">
        <v>226</v>
      </c>
      <c r="B18" s="161">
        <f>101487429-1009650</f>
        <v>100477779</v>
      </c>
      <c r="C18" s="161"/>
      <c r="D18" s="161"/>
      <c r="E18" s="161">
        <f>SUM(B18:D18)</f>
        <v>100477779</v>
      </c>
    </row>
    <row r="19" spans="1:5" x14ac:dyDescent="0.25">
      <c r="A19" s="4" t="s">
        <v>360</v>
      </c>
      <c r="B19" s="161">
        <f>1009650-80000</f>
        <v>929650</v>
      </c>
      <c r="C19" s="161"/>
      <c r="D19" s="161"/>
      <c r="E19" s="161">
        <f>SUM(B19:D19)</f>
        <v>929650</v>
      </c>
    </row>
    <row r="20" spans="1:5" x14ac:dyDescent="0.25">
      <c r="A20" s="4" t="s">
        <v>227</v>
      </c>
      <c r="B20" s="161"/>
      <c r="C20" s="161"/>
      <c r="D20" s="161"/>
      <c r="E20" s="161"/>
    </row>
    <row r="21" spans="1:5" ht="16.5" thickBot="1" x14ac:dyDescent="0.3">
      <c r="A21" s="12" t="s">
        <v>313</v>
      </c>
      <c r="B21" s="162"/>
      <c r="C21" s="162"/>
      <c r="D21" s="162"/>
      <c r="E21" s="162"/>
    </row>
    <row r="22" spans="1:5" s="1" customFormat="1" ht="16.5" thickBot="1" x14ac:dyDescent="0.3">
      <c r="A22" s="42" t="s">
        <v>228</v>
      </c>
      <c r="B22" s="309">
        <f>SUM(B18:B21)</f>
        <v>101407429</v>
      </c>
      <c r="C22" s="309">
        <f>SUM(C18:C21)</f>
        <v>0</v>
      </c>
      <c r="D22" s="309"/>
      <c r="E22" s="32">
        <f>SUM(E18:E21)</f>
        <v>101407429</v>
      </c>
    </row>
    <row r="23" spans="1:5" s="1" customFormat="1" x14ac:dyDescent="0.25">
      <c r="A23" s="312"/>
      <c r="B23" s="313"/>
      <c r="C23" s="313"/>
      <c r="D23" s="313"/>
      <c r="E23" s="313"/>
    </row>
    <row r="24" spans="1:5" s="1" customFormat="1" x14ac:dyDescent="0.25">
      <c r="A24" s="312"/>
      <c r="B24" s="313"/>
      <c r="C24" s="313"/>
      <c r="D24" s="313"/>
      <c r="E24" s="313"/>
    </row>
    <row r="25" spans="1:5" ht="16.5" thickBot="1" x14ac:dyDescent="0.3">
      <c r="A25" s="2" t="s">
        <v>506</v>
      </c>
    </row>
    <row r="26" spans="1:5" s="308" customFormat="1" ht="26.25" customHeight="1" thickBot="1" x14ac:dyDescent="0.3">
      <c r="A26" s="61" t="s">
        <v>217</v>
      </c>
      <c r="B26" s="6" t="s">
        <v>476</v>
      </c>
      <c r="C26" s="6" t="s">
        <v>504</v>
      </c>
      <c r="D26" s="6" t="s">
        <v>505</v>
      </c>
      <c r="E26" s="7" t="s">
        <v>213</v>
      </c>
    </row>
    <row r="27" spans="1:5" x14ac:dyDescent="0.25">
      <c r="A27" s="9" t="s">
        <v>218</v>
      </c>
      <c r="B27" s="160"/>
      <c r="C27" s="160"/>
      <c r="D27" s="160"/>
      <c r="E27" s="160">
        <f>SUM(B27:D27)</f>
        <v>0</v>
      </c>
    </row>
    <row r="28" spans="1:5" x14ac:dyDescent="0.25">
      <c r="A28" s="4" t="s">
        <v>219</v>
      </c>
      <c r="B28" s="161"/>
      <c r="C28" s="161"/>
      <c r="D28" s="161"/>
      <c r="E28" s="160">
        <f t="shared" ref="E28:E34" si="1">SUM(B28:D28)</f>
        <v>0</v>
      </c>
    </row>
    <row r="29" spans="1:5" x14ac:dyDescent="0.25">
      <c r="A29" s="4" t="s">
        <v>220</v>
      </c>
      <c r="B29" s="161">
        <f>42955985-5019831</f>
        <v>37936154</v>
      </c>
      <c r="C29" s="161">
        <v>5019831</v>
      </c>
      <c r="D29" s="161"/>
      <c r="E29" s="160">
        <f t="shared" si="1"/>
        <v>42955985</v>
      </c>
    </row>
    <row r="30" spans="1:5" x14ac:dyDescent="0.25">
      <c r="A30" s="4" t="s">
        <v>221</v>
      </c>
      <c r="B30" s="161"/>
      <c r="C30" s="161"/>
      <c r="D30" s="161"/>
      <c r="E30" s="160">
        <f t="shared" si="1"/>
        <v>0</v>
      </c>
    </row>
    <row r="31" spans="1:5" x14ac:dyDescent="0.25">
      <c r="A31" s="4" t="s">
        <v>222</v>
      </c>
      <c r="B31" s="161"/>
      <c r="C31" s="161"/>
      <c r="D31" s="161"/>
      <c r="E31" s="160">
        <f t="shared" si="1"/>
        <v>0</v>
      </c>
    </row>
    <row r="32" spans="1:5" x14ac:dyDescent="0.25">
      <c r="A32" s="4" t="s">
        <v>368</v>
      </c>
      <c r="B32" s="161">
        <v>2260846</v>
      </c>
      <c r="C32" s="161"/>
      <c r="D32" s="161"/>
      <c r="E32" s="160">
        <f t="shared" si="1"/>
        <v>2260846</v>
      </c>
    </row>
    <row r="33" spans="1:5" ht="16.5" thickBot="1" x14ac:dyDescent="0.3">
      <c r="A33" s="12"/>
      <c r="B33" s="162"/>
      <c r="C33" s="162"/>
      <c r="D33" s="162"/>
      <c r="E33" s="311">
        <f t="shared" si="1"/>
        <v>0</v>
      </c>
    </row>
    <row r="34" spans="1:5" ht="16.5" thickBot="1" x14ac:dyDescent="0.3">
      <c r="A34" s="42" t="s">
        <v>223</v>
      </c>
      <c r="B34" s="309">
        <f>SUM(B27:B33)</f>
        <v>40197000</v>
      </c>
      <c r="C34" s="309">
        <f>SUM(C27:C33)</f>
        <v>5019831</v>
      </c>
      <c r="D34" s="310"/>
      <c r="E34" s="314">
        <f t="shared" si="1"/>
        <v>45216831</v>
      </c>
    </row>
    <row r="35" spans="1:5" ht="16.5" thickBot="1" x14ac:dyDescent="0.3"/>
    <row r="36" spans="1:5" s="307" customFormat="1" ht="26.25" customHeight="1" thickBot="1" x14ac:dyDescent="0.3">
      <c r="A36" s="61" t="s">
        <v>224</v>
      </c>
      <c r="B36" s="6" t="s">
        <v>476</v>
      </c>
      <c r="C36" s="6" t="s">
        <v>504</v>
      </c>
      <c r="D36" s="6" t="s">
        <v>505</v>
      </c>
      <c r="E36" s="7" t="s">
        <v>213</v>
      </c>
    </row>
    <row r="37" spans="1:5" x14ac:dyDescent="0.25">
      <c r="A37" s="9" t="s">
        <v>225</v>
      </c>
      <c r="B37" s="160"/>
      <c r="C37" s="160"/>
      <c r="D37" s="160"/>
      <c r="E37" s="160"/>
    </row>
    <row r="38" spans="1:5" x14ac:dyDescent="0.25">
      <c r="A38" s="4" t="s">
        <v>226</v>
      </c>
      <c r="B38" s="161">
        <v>39747000</v>
      </c>
      <c r="C38" s="161">
        <v>5019831</v>
      </c>
      <c r="D38" s="161"/>
      <c r="E38" s="161">
        <f>SUM(B38:D38)</f>
        <v>44766831</v>
      </c>
    </row>
    <row r="39" spans="1:5" x14ac:dyDescent="0.25">
      <c r="A39" s="4" t="s">
        <v>360</v>
      </c>
      <c r="B39" s="161">
        <v>450000</v>
      </c>
      <c r="C39" s="161"/>
      <c r="D39" s="161"/>
      <c r="E39" s="161">
        <f>SUM(B39:D39)</f>
        <v>450000</v>
      </c>
    </row>
    <row r="40" spans="1:5" x14ac:dyDescent="0.25">
      <c r="A40" s="4" t="s">
        <v>227</v>
      </c>
      <c r="B40" s="161"/>
      <c r="C40" s="161"/>
      <c r="D40" s="161"/>
      <c r="E40" s="161"/>
    </row>
    <row r="41" spans="1:5" ht="16.5" thickBot="1" x14ac:dyDescent="0.3">
      <c r="A41" s="12" t="s">
        <v>313</v>
      </c>
      <c r="B41" s="162"/>
      <c r="C41" s="162"/>
      <c r="D41" s="162"/>
      <c r="E41" s="162"/>
    </row>
    <row r="42" spans="1:5" s="1" customFormat="1" ht="16.5" thickBot="1" x14ac:dyDescent="0.3">
      <c r="A42" s="42" t="s">
        <v>228</v>
      </c>
      <c r="B42" s="309">
        <f>SUM(B38:B41)</f>
        <v>40197000</v>
      </c>
      <c r="C42" s="309">
        <f>SUM(C38:C41)</f>
        <v>5019831</v>
      </c>
      <c r="D42" s="309"/>
      <c r="E42" s="32">
        <f>SUM(E38:E41)</f>
        <v>45216831</v>
      </c>
    </row>
    <row r="43" spans="1:5" s="1" customFormat="1" x14ac:dyDescent="0.25">
      <c r="A43" s="312"/>
      <c r="B43" s="313"/>
      <c r="C43" s="313"/>
      <c r="D43" s="313"/>
      <c r="E43" s="313"/>
    </row>
    <row r="44" spans="1:5" s="1" customFormat="1" x14ac:dyDescent="0.25">
      <c r="A44" s="312"/>
      <c r="B44" s="313"/>
      <c r="C44" s="313"/>
      <c r="D44" s="313"/>
      <c r="E44" s="313"/>
    </row>
    <row r="45" spans="1:5" ht="16.5" thickBot="1" x14ac:dyDescent="0.3">
      <c r="A45" s="2" t="s">
        <v>517</v>
      </c>
    </row>
    <row r="46" spans="1:5" s="319" customFormat="1" ht="26.25" customHeight="1" thickBot="1" x14ac:dyDescent="0.3">
      <c r="A46" s="61" t="s">
        <v>217</v>
      </c>
      <c r="B46" s="6" t="s">
        <v>476</v>
      </c>
      <c r="C46" s="6" t="s">
        <v>504</v>
      </c>
      <c r="D46" s="6" t="s">
        <v>505</v>
      </c>
      <c r="E46" s="7" t="s">
        <v>213</v>
      </c>
    </row>
    <row r="47" spans="1:5" x14ac:dyDescent="0.25">
      <c r="A47" s="9" t="s">
        <v>218</v>
      </c>
      <c r="B47" s="160"/>
      <c r="C47" s="160"/>
      <c r="D47" s="160"/>
      <c r="E47" s="160">
        <f>SUM(B47:D47)</f>
        <v>0</v>
      </c>
    </row>
    <row r="48" spans="1:5" x14ac:dyDescent="0.25">
      <c r="A48" s="4" t="s">
        <v>219</v>
      </c>
      <c r="B48" s="161"/>
      <c r="C48" s="161"/>
      <c r="D48" s="161"/>
      <c r="E48" s="160">
        <f t="shared" ref="E48:E54" si="2">SUM(B48:D48)</f>
        <v>0</v>
      </c>
    </row>
    <row r="49" spans="1:5" x14ac:dyDescent="0.25">
      <c r="A49" s="4" t="s">
        <v>220</v>
      </c>
      <c r="B49" s="161"/>
      <c r="C49" s="161"/>
      <c r="D49" s="161"/>
      <c r="E49" s="160">
        <f t="shared" si="2"/>
        <v>0</v>
      </c>
    </row>
    <row r="50" spans="1:5" x14ac:dyDescent="0.25">
      <c r="A50" s="4" t="s">
        <v>221</v>
      </c>
      <c r="B50" s="161"/>
      <c r="C50" s="161"/>
      <c r="D50" s="161"/>
      <c r="E50" s="160">
        <f t="shared" si="2"/>
        <v>0</v>
      </c>
    </row>
    <row r="51" spans="1:5" x14ac:dyDescent="0.25">
      <c r="A51" s="4" t="s">
        <v>222</v>
      </c>
      <c r="B51" s="161"/>
      <c r="C51" s="161"/>
      <c r="D51" s="161"/>
      <c r="E51" s="160">
        <f t="shared" si="2"/>
        <v>0</v>
      </c>
    </row>
    <row r="52" spans="1:5" x14ac:dyDescent="0.25">
      <c r="A52" s="4" t="s">
        <v>368</v>
      </c>
      <c r="B52" s="161">
        <v>3496509</v>
      </c>
      <c r="C52" s="161"/>
      <c r="D52" s="161"/>
      <c r="E52" s="160">
        <f t="shared" si="2"/>
        <v>3496509</v>
      </c>
    </row>
    <row r="53" spans="1:5" ht="16.5" thickBot="1" x14ac:dyDescent="0.3">
      <c r="A53" s="12"/>
      <c r="B53" s="162"/>
      <c r="C53" s="162"/>
      <c r="D53" s="162"/>
      <c r="E53" s="311">
        <f t="shared" si="2"/>
        <v>0</v>
      </c>
    </row>
    <row r="54" spans="1:5" ht="16.5" thickBot="1" x14ac:dyDescent="0.3">
      <c r="A54" s="42" t="s">
        <v>223</v>
      </c>
      <c r="B54" s="309">
        <f>SUM(B47:B53)</f>
        <v>3496509</v>
      </c>
      <c r="C54" s="309">
        <f>SUM(C47:C53)</f>
        <v>0</v>
      </c>
      <c r="D54" s="310"/>
      <c r="E54" s="314">
        <f t="shared" si="2"/>
        <v>3496509</v>
      </c>
    </row>
    <row r="55" spans="1:5" ht="16.5" thickBot="1" x14ac:dyDescent="0.3"/>
    <row r="56" spans="1:5" s="318" customFormat="1" ht="26.25" customHeight="1" thickBot="1" x14ac:dyDescent="0.3">
      <c r="A56" s="61" t="s">
        <v>224</v>
      </c>
      <c r="B56" s="6" t="s">
        <v>476</v>
      </c>
      <c r="C56" s="6" t="s">
        <v>504</v>
      </c>
      <c r="D56" s="6" t="s">
        <v>505</v>
      </c>
      <c r="E56" s="7" t="s">
        <v>213</v>
      </c>
    </row>
    <row r="57" spans="1:5" x14ac:dyDescent="0.25">
      <c r="A57" s="9" t="s">
        <v>225</v>
      </c>
      <c r="B57" s="160">
        <v>275000</v>
      </c>
      <c r="C57" s="160">
        <v>275000</v>
      </c>
      <c r="D57" s="160">
        <v>549764</v>
      </c>
      <c r="E57" s="160">
        <f>SUM(B57:D57)</f>
        <v>1099764</v>
      </c>
    </row>
    <row r="58" spans="1:5" x14ac:dyDescent="0.25">
      <c r="A58" s="4" t="s">
        <v>226</v>
      </c>
      <c r="B58" s="161"/>
      <c r="C58" s="161"/>
      <c r="D58" s="161"/>
      <c r="E58" s="161">
        <f>SUM(B58:D58)</f>
        <v>0</v>
      </c>
    </row>
    <row r="59" spans="1:5" x14ac:dyDescent="0.25">
      <c r="A59" s="4" t="s">
        <v>360</v>
      </c>
      <c r="B59" s="161">
        <v>2396844</v>
      </c>
      <c r="C59" s="161"/>
      <c r="D59" s="161"/>
      <c r="E59" s="161">
        <f>SUM(B59:D59)</f>
        <v>2396844</v>
      </c>
    </row>
    <row r="60" spans="1:5" x14ac:dyDescent="0.25">
      <c r="A60" s="4" t="s">
        <v>227</v>
      </c>
      <c r="B60" s="161"/>
      <c r="C60" s="161"/>
      <c r="D60" s="161"/>
      <c r="E60" s="161"/>
    </row>
    <row r="61" spans="1:5" ht="16.5" thickBot="1" x14ac:dyDescent="0.3">
      <c r="A61" s="12" t="s">
        <v>313</v>
      </c>
      <c r="B61" s="162"/>
      <c r="C61" s="162"/>
      <c r="D61" s="162"/>
      <c r="E61" s="162"/>
    </row>
    <row r="62" spans="1:5" s="1" customFormat="1" ht="16.5" thickBot="1" x14ac:dyDescent="0.3">
      <c r="A62" s="42" t="s">
        <v>228</v>
      </c>
      <c r="B62" s="309">
        <f>SUM(B57:B61)</f>
        <v>2671844</v>
      </c>
      <c r="C62" s="309">
        <f t="shared" ref="C62" si="3">SUM(C57:C61)</f>
        <v>275000</v>
      </c>
      <c r="D62" s="309">
        <f>SUM(D57:D61)</f>
        <v>549764</v>
      </c>
      <c r="E62" s="309">
        <f>SUM(E57:E61)</f>
        <v>3496608</v>
      </c>
    </row>
    <row r="63" spans="1:5" s="1" customFormat="1" x14ac:dyDescent="0.25">
      <c r="A63" s="312"/>
      <c r="B63" s="313"/>
      <c r="C63" s="313"/>
      <c r="D63" s="313"/>
      <c r="E63" s="313"/>
    </row>
    <row r="64" spans="1:5" s="1" customFormat="1" x14ac:dyDescent="0.25">
      <c r="A64" s="312"/>
      <c r="B64" s="313"/>
      <c r="C64" s="313"/>
      <c r="D64" s="313"/>
      <c r="E64" s="313"/>
    </row>
    <row r="65" spans="1:5" s="1" customFormat="1" ht="16.5" thickBot="1" x14ac:dyDescent="0.3">
      <c r="A65" s="2" t="s">
        <v>518</v>
      </c>
      <c r="B65" s="2"/>
      <c r="C65" s="2"/>
      <c r="D65" s="2"/>
      <c r="E65" s="2"/>
    </row>
    <row r="66" spans="1:5" s="1" customFormat="1" ht="16.5" thickBot="1" x14ac:dyDescent="0.3">
      <c r="A66" s="61" t="s">
        <v>217</v>
      </c>
      <c r="B66" s="6" t="s">
        <v>476</v>
      </c>
      <c r="C66" s="6" t="s">
        <v>504</v>
      </c>
      <c r="D66" s="6" t="s">
        <v>505</v>
      </c>
      <c r="E66" s="7" t="s">
        <v>213</v>
      </c>
    </row>
    <row r="67" spans="1:5" s="1" customFormat="1" x14ac:dyDescent="0.25">
      <c r="A67" s="9" t="s">
        <v>218</v>
      </c>
      <c r="B67" s="160"/>
      <c r="C67" s="160"/>
      <c r="D67" s="160"/>
      <c r="E67" s="160">
        <f>SUM(B67:D67)</f>
        <v>0</v>
      </c>
    </row>
    <row r="68" spans="1:5" s="1" customFormat="1" x14ac:dyDescent="0.25">
      <c r="A68" s="4" t="s">
        <v>219</v>
      </c>
      <c r="B68" s="161"/>
      <c r="C68" s="161"/>
      <c r="D68" s="161"/>
      <c r="E68" s="160">
        <f t="shared" ref="E68:E74" si="4">SUM(B68:D68)</f>
        <v>0</v>
      </c>
    </row>
    <row r="69" spans="1:5" s="1" customFormat="1" x14ac:dyDescent="0.25">
      <c r="A69" s="4" t="s">
        <v>220</v>
      </c>
      <c r="B69" s="161"/>
      <c r="C69" s="161"/>
      <c r="D69" s="161"/>
      <c r="E69" s="160">
        <f t="shared" si="4"/>
        <v>0</v>
      </c>
    </row>
    <row r="70" spans="1:5" s="1" customFormat="1" x14ac:dyDescent="0.25">
      <c r="A70" s="4" t="s">
        <v>221</v>
      </c>
      <c r="B70" s="161"/>
      <c r="C70" s="161"/>
      <c r="D70" s="161"/>
      <c r="E70" s="160">
        <f t="shared" si="4"/>
        <v>0</v>
      </c>
    </row>
    <row r="71" spans="1:5" s="1" customFormat="1" x14ac:dyDescent="0.25">
      <c r="A71" s="4" t="s">
        <v>222</v>
      </c>
      <c r="B71" s="161"/>
      <c r="C71" s="161"/>
      <c r="D71" s="161"/>
      <c r="E71" s="160">
        <f t="shared" si="4"/>
        <v>0</v>
      </c>
    </row>
    <row r="72" spans="1:5" s="1" customFormat="1" x14ac:dyDescent="0.25">
      <c r="A72" s="4" t="s">
        <v>368</v>
      </c>
      <c r="B72" s="161">
        <v>203703331</v>
      </c>
      <c r="C72" s="161"/>
      <c r="D72" s="161"/>
      <c r="E72" s="160">
        <f t="shared" si="4"/>
        <v>203703331</v>
      </c>
    </row>
    <row r="73" spans="1:5" s="1" customFormat="1" ht="16.5" thickBot="1" x14ac:dyDescent="0.3">
      <c r="A73" s="12"/>
      <c r="B73" s="162"/>
      <c r="C73" s="162"/>
      <c r="D73" s="162"/>
      <c r="E73" s="311">
        <f t="shared" si="4"/>
        <v>0</v>
      </c>
    </row>
    <row r="74" spans="1:5" s="1" customFormat="1" ht="16.5" thickBot="1" x14ac:dyDescent="0.3">
      <c r="A74" s="42" t="s">
        <v>223</v>
      </c>
      <c r="B74" s="309">
        <f>SUM(B67:B73)</f>
        <v>203703331</v>
      </c>
      <c r="C74" s="309">
        <f>SUM(C67:C73)</f>
        <v>0</v>
      </c>
      <c r="D74" s="310"/>
      <c r="E74" s="314">
        <f t="shared" si="4"/>
        <v>203703331</v>
      </c>
    </row>
    <row r="75" spans="1:5" s="1" customFormat="1" ht="16.5" thickBot="1" x14ac:dyDescent="0.3">
      <c r="A75" s="2"/>
      <c r="B75" s="2"/>
      <c r="C75" s="2"/>
      <c r="D75" s="2"/>
      <c r="E75" s="2"/>
    </row>
    <row r="76" spans="1:5" s="1" customFormat="1" ht="16.5" thickBot="1" x14ac:dyDescent="0.3">
      <c r="A76" s="61" t="s">
        <v>224</v>
      </c>
      <c r="B76" s="6" t="s">
        <v>476</v>
      </c>
      <c r="C76" s="6" t="s">
        <v>504</v>
      </c>
      <c r="D76" s="6" t="s">
        <v>505</v>
      </c>
      <c r="E76" s="7" t="s">
        <v>213</v>
      </c>
    </row>
    <row r="77" spans="1:5" s="1" customFormat="1" x14ac:dyDescent="0.25">
      <c r="A77" s="9" t="s">
        <v>225</v>
      </c>
      <c r="B77" s="160"/>
      <c r="C77" s="160"/>
      <c r="D77" s="160"/>
      <c r="E77" s="160">
        <f>SUM(B77:D77)</f>
        <v>0</v>
      </c>
    </row>
    <row r="78" spans="1:5" s="1" customFormat="1" x14ac:dyDescent="0.25">
      <c r="A78" s="4" t="s">
        <v>226</v>
      </c>
      <c r="B78" s="161">
        <v>186265100</v>
      </c>
      <c r="C78" s="161"/>
      <c r="D78" s="161"/>
      <c r="E78" s="161">
        <f>SUM(B78:D78)</f>
        <v>186265100</v>
      </c>
    </row>
    <row r="79" spans="1:5" s="1" customFormat="1" x14ac:dyDescent="0.25">
      <c r="A79" s="4" t="s">
        <v>360</v>
      </c>
      <c r="B79" s="161">
        <v>17438231</v>
      </c>
      <c r="C79" s="161"/>
      <c r="D79" s="161"/>
      <c r="E79" s="161">
        <f>SUM(B79:D79)</f>
        <v>17438231</v>
      </c>
    </row>
    <row r="80" spans="1:5" s="1" customFormat="1" x14ac:dyDescent="0.25">
      <c r="A80" s="4" t="s">
        <v>227</v>
      </c>
      <c r="B80" s="161"/>
      <c r="C80" s="161"/>
      <c r="D80" s="161"/>
      <c r="E80" s="161"/>
    </row>
    <row r="81" spans="1:5" s="1" customFormat="1" ht="16.5" thickBot="1" x14ac:dyDescent="0.3">
      <c r="A81" s="12" t="s">
        <v>313</v>
      </c>
      <c r="B81" s="162"/>
      <c r="C81" s="162"/>
      <c r="D81" s="162"/>
      <c r="E81" s="162"/>
    </row>
    <row r="82" spans="1:5" s="1" customFormat="1" ht="16.5" thickBot="1" x14ac:dyDescent="0.3">
      <c r="A82" s="42" t="s">
        <v>228</v>
      </c>
      <c r="B82" s="309">
        <f>SUM(B77:B81)</f>
        <v>203703331</v>
      </c>
      <c r="C82" s="309">
        <f t="shared" ref="C82" si="5">SUM(C77:C81)</f>
        <v>0</v>
      </c>
      <c r="D82" s="309">
        <f>SUM(D77:D81)</f>
        <v>0</v>
      </c>
      <c r="E82" s="309">
        <f>SUM(E77:E81)</f>
        <v>203703331</v>
      </c>
    </row>
    <row r="83" spans="1:5" s="1" customFormat="1" x14ac:dyDescent="0.25">
      <c r="A83" s="312"/>
      <c r="B83" s="313"/>
      <c r="C83" s="313"/>
      <c r="D83" s="313"/>
      <c r="E83" s="313"/>
    </row>
    <row r="84" spans="1:5" s="1" customFormat="1" x14ac:dyDescent="0.25">
      <c r="A84" s="312"/>
      <c r="B84" s="313"/>
      <c r="C84" s="313"/>
      <c r="D84" s="313"/>
      <c r="E84" s="313"/>
    </row>
    <row r="85" spans="1:5" s="1" customFormat="1" ht="16.5" thickBot="1" x14ac:dyDescent="0.3">
      <c r="A85" s="2" t="s">
        <v>519</v>
      </c>
      <c r="B85" s="2"/>
      <c r="C85" s="2"/>
      <c r="D85" s="2"/>
      <c r="E85" s="2"/>
    </row>
    <row r="86" spans="1:5" s="1" customFormat="1" ht="16.5" thickBot="1" x14ac:dyDescent="0.3">
      <c r="A86" s="61" t="s">
        <v>217</v>
      </c>
      <c r="B86" s="6" t="s">
        <v>476</v>
      </c>
      <c r="C86" s="6" t="s">
        <v>504</v>
      </c>
      <c r="D86" s="6" t="s">
        <v>505</v>
      </c>
      <c r="E86" s="7" t="s">
        <v>213</v>
      </c>
    </row>
    <row r="87" spans="1:5" s="1" customFormat="1" x14ac:dyDescent="0.25">
      <c r="A87" s="9" t="s">
        <v>218</v>
      </c>
      <c r="B87" s="160"/>
      <c r="C87" s="160"/>
      <c r="D87" s="160"/>
      <c r="E87" s="160">
        <f>SUM(B87:D87)</f>
        <v>0</v>
      </c>
    </row>
    <row r="88" spans="1:5" s="1" customFormat="1" x14ac:dyDescent="0.25">
      <c r="A88" s="4" t="s">
        <v>219</v>
      </c>
      <c r="B88" s="161"/>
      <c r="C88" s="161"/>
      <c r="D88" s="161"/>
      <c r="E88" s="160">
        <f t="shared" ref="E88:E94" si="6">SUM(B88:D88)</f>
        <v>0</v>
      </c>
    </row>
    <row r="89" spans="1:5" s="1" customFormat="1" x14ac:dyDescent="0.25">
      <c r="A89" s="4" t="s">
        <v>220</v>
      </c>
      <c r="B89" s="161"/>
      <c r="C89" s="161"/>
      <c r="D89" s="161"/>
      <c r="E89" s="160">
        <f t="shared" si="6"/>
        <v>0</v>
      </c>
    </row>
    <row r="90" spans="1:5" s="1" customFormat="1" x14ac:dyDescent="0.25">
      <c r="A90" s="4" t="s">
        <v>221</v>
      </c>
      <c r="B90" s="161"/>
      <c r="C90" s="161"/>
      <c r="D90" s="161"/>
      <c r="E90" s="160">
        <f t="shared" si="6"/>
        <v>0</v>
      </c>
    </row>
    <row r="91" spans="1:5" s="1" customFormat="1" x14ac:dyDescent="0.25">
      <c r="A91" s="4" t="s">
        <v>222</v>
      </c>
      <c r="B91" s="161"/>
      <c r="C91" s="161"/>
      <c r="D91" s="161"/>
      <c r="E91" s="160">
        <f t="shared" si="6"/>
        <v>0</v>
      </c>
    </row>
    <row r="92" spans="1:5" s="1" customFormat="1" x14ac:dyDescent="0.25">
      <c r="A92" s="4" t="s">
        <v>368</v>
      </c>
      <c r="B92" s="161">
        <v>35359459</v>
      </c>
      <c r="C92" s="161"/>
      <c r="D92" s="161"/>
      <c r="E92" s="160">
        <f t="shared" si="6"/>
        <v>35359459</v>
      </c>
    </row>
    <row r="93" spans="1:5" s="1" customFormat="1" ht="16.5" thickBot="1" x14ac:dyDescent="0.3">
      <c r="A93" s="12"/>
      <c r="B93" s="162"/>
      <c r="C93" s="162"/>
      <c r="D93" s="162"/>
      <c r="E93" s="311">
        <f t="shared" si="6"/>
        <v>0</v>
      </c>
    </row>
    <row r="94" spans="1:5" s="1" customFormat="1" ht="16.5" thickBot="1" x14ac:dyDescent="0.3">
      <c r="A94" s="42" t="s">
        <v>223</v>
      </c>
      <c r="B94" s="309">
        <f>SUM(B87:B93)</f>
        <v>35359459</v>
      </c>
      <c r="C94" s="309">
        <f>SUM(C87:C93)</f>
        <v>0</v>
      </c>
      <c r="D94" s="310"/>
      <c r="E94" s="314">
        <f t="shared" si="6"/>
        <v>35359459</v>
      </c>
    </row>
    <row r="95" spans="1:5" s="1" customFormat="1" ht="16.5" thickBot="1" x14ac:dyDescent="0.3">
      <c r="A95" s="2"/>
      <c r="B95" s="2"/>
      <c r="C95" s="2"/>
      <c r="D95" s="2"/>
      <c r="E95" s="2"/>
    </row>
    <row r="96" spans="1:5" s="1" customFormat="1" ht="16.5" thickBot="1" x14ac:dyDescent="0.3">
      <c r="A96" s="61" t="s">
        <v>224</v>
      </c>
      <c r="B96" s="6" t="s">
        <v>476</v>
      </c>
      <c r="C96" s="6" t="s">
        <v>504</v>
      </c>
      <c r="D96" s="6" t="s">
        <v>505</v>
      </c>
      <c r="E96" s="7" t="s">
        <v>213</v>
      </c>
    </row>
    <row r="97" spans="1:5" s="1" customFormat="1" x14ac:dyDescent="0.25">
      <c r="A97" s="9" t="s">
        <v>225</v>
      </c>
      <c r="B97" s="160"/>
      <c r="C97" s="160"/>
      <c r="D97" s="160"/>
      <c r="E97" s="160">
        <f>SUM(B97:D97)</f>
        <v>0</v>
      </c>
    </row>
    <row r="98" spans="1:5" s="1" customFormat="1" x14ac:dyDescent="0.25">
      <c r="A98" s="4" t="s">
        <v>226</v>
      </c>
      <c r="B98" s="161">
        <v>35359459</v>
      </c>
      <c r="C98" s="161"/>
      <c r="D98" s="161"/>
      <c r="E98" s="161">
        <f>SUM(B98:D98)</f>
        <v>35359459</v>
      </c>
    </row>
    <row r="99" spans="1:5" s="1" customFormat="1" x14ac:dyDescent="0.25">
      <c r="A99" s="4" t="s">
        <v>360</v>
      </c>
      <c r="B99" s="161"/>
      <c r="C99" s="161"/>
      <c r="D99" s="161"/>
      <c r="E99" s="161">
        <f>SUM(B99:D99)</f>
        <v>0</v>
      </c>
    </row>
    <row r="100" spans="1:5" s="1" customFormat="1" x14ac:dyDescent="0.25">
      <c r="A100" s="4" t="s">
        <v>227</v>
      </c>
      <c r="B100" s="161"/>
      <c r="C100" s="161"/>
      <c r="D100" s="161"/>
      <c r="E100" s="161"/>
    </row>
    <row r="101" spans="1:5" s="1" customFormat="1" ht="16.5" thickBot="1" x14ac:dyDescent="0.3">
      <c r="A101" s="12" t="s">
        <v>313</v>
      </c>
      <c r="B101" s="162"/>
      <c r="C101" s="162"/>
      <c r="D101" s="162"/>
      <c r="E101" s="162"/>
    </row>
    <row r="102" spans="1:5" s="1" customFormat="1" ht="16.5" thickBot="1" x14ac:dyDescent="0.3">
      <c r="A102" s="42" t="s">
        <v>228</v>
      </c>
      <c r="B102" s="309">
        <f>SUM(B97:B101)</f>
        <v>35359459</v>
      </c>
      <c r="C102" s="309">
        <f t="shared" ref="C102" si="7">SUM(C97:C101)</f>
        <v>0</v>
      </c>
      <c r="D102" s="309">
        <f>SUM(D97:D101)</f>
        <v>0</v>
      </c>
      <c r="E102" s="309">
        <f>SUM(E97:E101)</f>
        <v>35359459</v>
      </c>
    </row>
    <row r="103" spans="1:5" s="1" customFormat="1" x14ac:dyDescent="0.25">
      <c r="A103" s="312"/>
      <c r="B103" s="313"/>
      <c r="C103" s="313"/>
      <c r="D103" s="313"/>
      <c r="E103" s="313"/>
    </row>
    <row r="104" spans="1:5" s="1" customFormat="1" x14ac:dyDescent="0.25">
      <c r="A104" s="312"/>
      <c r="B104" s="313"/>
      <c r="C104" s="313"/>
      <c r="D104" s="313"/>
      <c r="E104" s="313"/>
    </row>
    <row r="105" spans="1:5" s="1" customFormat="1" ht="16.5" thickBot="1" x14ac:dyDescent="0.3">
      <c r="A105" s="2" t="s">
        <v>521</v>
      </c>
      <c r="B105" s="2"/>
      <c r="C105" s="2"/>
      <c r="D105" s="2"/>
      <c r="E105" s="2"/>
    </row>
    <row r="106" spans="1:5" s="1" customFormat="1" ht="16.5" thickBot="1" x14ac:dyDescent="0.3">
      <c r="A106" s="61" t="s">
        <v>217</v>
      </c>
      <c r="B106" s="6" t="s">
        <v>476</v>
      </c>
      <c r="C106" s="6" t="s">
        <v>504</v>
      </c>
      <c r="D106" s="6" t="s">
        <v>505</v>
      </c>
      <c r="E106" s="7" t="s">
        <v>213</v>
      </c>
    </row>
    <row r="107" spans="1:5" s="1" customFormat="1" x14ac:dyDescent="0.25">
      <c r="A107" s="9" t="s">
        <v>218</v>
      </c>
      <c r="B107" s="160"/>
      <c r="C107" s="160"/>
      <c r="D107" s="160"/>
      <c r="E107" s="160">
        <f>SUM(B107:D107)</f>
        <v>0</v>
      </c>
    </row>
    <row r="108" spans="1:5" s="1" customFormat="1" x14ac:dyDescent="0.25">
      <c r="A108" s="4" t="s">
        <v>219</v>
      </c>
      <c r="B108" s="161"/>
      <c r="C108" s="161"/>
      <c r="D108" s="161"/>
      <c r="E108" s="160">
        <f t="shared" ref="E108:E114" si="8">SUM(B108:D108)</f>
        <v>0</v>
      </c>
    </row>
    <row r="109" spans="1:5" s="1" customFormat="1" x14ac:dyDescent="0.25">
      <c r="A109" s="4" t="s">
        <v>220</v>
      </c>
      <c r="B109" s="161"/>
      <c r="C109" s="161"/>
      <c r="D109" s="161"/>
      <c r="E109" s="160">
        <f t="shared" si="8"/>
        <v>0</v>
      </c>
    </row>
    <row r="110" spans="1:5" s="1" customFormat="1" x14ac:dyDescent="0.25">
      <c r="A110" s="4" t="s">
        <v>221</v>
      </c>
      <c r="B110" s="161"/>
      <c r="C110" s="161"/>
      <c r="D110" s="161"/>
      <c r="E110" s="160">
        <f t="shared" si="8"/>
        <v>0</v>
      </c>
    </row>
    <row r="111" spans="1:5" s="1" customFormat="1" x14ac:dyDescent="0.25">
      <c r="A111" s="4" t="s">
        <v>222</v>
      </c>
      <c r="B111" s="161"/>
      <c r="C111" s="161"/>
      <c r="D111" s="161"/>
      <c r="E111" s="160">
        <f t="shared" si="8"/>
        <v>0</v>
      </c>
    </row>
    <row r="112" spans="1:5" s="1" customFormat="1" x14ac:dyDescent="0.25">
      <c r="A112" s="4" t="s">
        <v>368</v>
      </c>
      <c r="B112" s="161">
        <v>170755818</v>
      </c>
      <c r="C112" s="161"/>
      <c r="D112" s="161"/>
      <c r="E112" s="160">
        <f t="shared" si="8"/>
        <v>170755818</v>
      </c>
    </row>
    <row r="113" spans="1:5" s="1" customFormat="1" ht="16.5" thickBot="1" x14ac:dyDescent="0.3">
      <c r="A113" s="12"/>
      <c r="B113" s="162"/>
      <c r="C113" s="162"/>
      <c r="D113" s="162"/>
      <c r="E113" s="311">
        <f t="shared" si="8"/>
        <v>0</v>
      </c>
    </row>
    <row r="114" spans="1:5" s="1" customFormat="1" ht="16.5" thickBot="1" x14ac:dyDescent="0.3">
      <c r="A114" s="42" t="s">
        <v>223</v>
      </c>
      <c r="B114" s="309">
        <f>SUM(B107:B113)</f>
        <v>170755818</v>
      </c>
      <c r="C114" s="309">
        <f>SUM(C107:C113)</f>
        <v>0</v>
      </c>
      <c r="D114" s="310"/>
      <c r="E114" s="314">
        <f t="shared" si="8"/>
        <v>170755818</v>
      </c>
    </row>
    <row r="115" spans="1:5" s="1" customFormat="1" ht="16.5" thickBot="1" x14ac:dyDescent="0.3">
      <c r="A115" s="2"/>
      <c r="B115" s="2"/>
      <c r="C115" s="2"/>
      <c r="D115" s="2"/>
      <c r="E115" s="2"/>
    </row>
    <row r="116" spans="1:5" s="1" customFormat="1" ht="16.5" thickBot="1" x14ac:dyDescent="0.3">
      <c r="A116" s="61" t="s">
        <v>224</v>
      </c>
      <c r="B116" s="6" t="s">
        <v>476</v>
      </c>
      <c r="C116" s="6" t="s">
        <v>504</v>
      </c>
      <c r="D116" s="6" t="s">
        <v>505</v>
      </c>
      <c r="E116" s="7" t="s">
        <v>213</v>
      </c>
    </row>
    <row r="117" spans="1:5" s="1" customFormat="1" x14ac:dyDescent="0.25">
      <c r="A117" s="9" t="s">
        <v>225</v>
      </c>
      <c r="B117" s="160"/>
      <c r="C117" s="160"/>
      <c r="D117" s="160"/>
      <c r="E117" s="160">
        <f>SUM(B117:D117)</f>
        <v>0</v>
      </c>
    </row>
    <row r="118" spans="1:5" s="1" customFormat="1" x14ac:dyDescent="0.25">
      <c r="A118" s="4" t="s">
        <v>226</v>
      </c>
      <c r="B118" s="161">
        <v>158900438</v>
      </c>
      <c r="C118" s="161"/>
      <c r="D118" s="161"/>
      <c r="E118" s="161">
        <f>SUM(B118:D118)</f>
        <v>158900438</v>
      </c>
    </row>
    <row r="119" spans="1:5" s="1" customFormat="1" x14ac:dyDescent="0.25">
      <c r="A119" s="4" t="s">
        <v>360</v>
      </c>
      <c r="B119" s="161">
        <v>11855380</v>
      </c>
      <c r="C119" s="161"/>
      <c r="D119" s="161"/>
      <c r="E119" s="161">
        <f>SUM(B119:D119)</f>
        <v>11855380</v>
      </c>
    </row>
    <row r="120" spans="1:5" s="1" customFormat="1" x14ac:dyDescent="0.25">
      <c r="A120" s="4" t="s">
        <v>227</v>
      </c>
      <c r="B120" s="161"/>
      <c r="C120" s="161"/>
      <c r="D120" s="161"/>
      <c r="E120" s="161"/>
    </row>
    <row r="121" spans="1:5" s="1" customFormat="1" ht="16.5" thickBot="1" x14ac:dyDescent="0.3">
      <c r="A121" s="12" t="s">
        <v>313</v>
      </c>
      <c r="B121" s="162"/>
      <c r="C121" s="162"/>
      <c r="D121" s="162"/>
      <c r="E121" s="162"/>
    </row>
    <row r="122" spans="1:5" s="1" customFormat="1" ht="16.5" thickBot="1" x14ac:dyDescent="0.3">
      <c r="A122" s="42" t="s">
        <v>228</v>
      </c>
      <c r="B122" s="309">
        <f>SUM(B117:B121)</f>
        <v>170755818</v>
      </c>
      <c r="C122" s="309">
        <f t="shared" ref="C122" si="9">SUM(C117:C121)</f>
        <v>0</v>
      </c>
      <c r="D122" s="309">
        <f>SUM(D117:D121)</f>
        <v>0</v>
      </c>
      <c r="E122" s="309">
        <f>SUM(E117:E121)</f>
        <v>170755818</v>
      </c>
    </row>
    <row r="123" spans="1:5" s="1" customFormat="1" x14ac:dyDescent="0.25">
      <c r="A123" s="312"/>
      <c r="B123" s="313"/>
      <c r="C123" s="313"/>
      <c r="D123" s="313"/>
      <c r="E123" s="313"/>
    </row>
    <row r="124" spans="1:5" s="1" customFormat="1" x14ac:dyDescent="0.25">
      <c r="A124" s="312"/>
      <c r="B124" s="313"/>
      <c r="C124" s="313"/>
      <c r="D124" s="313"/>
      <c r="E124" s="313"/>
    </row>
    <row r="125" spans="1:5" s="1" customFormat="1" ht="16.5" thickBot="1" x14ac:dyDescent="0.3">
      <c r="A125" s="2" t="s">
        <v>522</v>
      </c>
      <c r="B125" s="2"/>
      <c r="C125" s="2"/>
      <c r="D125" s="2"/>
      <c r="E125" s="2"/>
    </row>
    <row r="126" spans="1:5" s="1" customFormat="1" ht="16.5" thickBot="1" x14ac:dyDescent="0.3">
      <c r="A126" s="61" t="s">
        <v>217</v>
      </c>
      <c r="B126" s="6" t="s">
        <v>476</v>
      </c>
      <c r="C126" s="6" t="s">
        <v>504</v>
      </c>
      <c r="D126" s="6" t="s">
        <v>505</v>
      </c>
      <c r="E126" s="7" t="s">
        <v>213</v>
      </c>
    </row>
    <row r="127" spans="1:5" s="1" customFormat="1" x14ac:dyDescent="0.25">
      <c r="A127" s="9" t="s">
        <v>218</v>
      </c>
      <c r="B127" s="160"/>
      <c r="C127" s="160"/>
      <c r="D127" s="160"/>
      <c r="E127" s="160">
        <f>SUM(B127:D127)</f>
        <v>0</v>
      </c>
    </row>
    <row r="128" spans="1:5" s="1" customFormat="1" x14ac:dyDescent="0.25">
      <c r="A128" s="4" t="s">
        <v>219</v>
      </c>
      <c r="B128" s="161"/>
      <c r="C128" s="161"/>
      <c r="D128" s="161"/>
      <c r="E128" s="160">
        <f t="shared" ref="E128:E134" si="10">SUM(B128:D128)</f>
        <v>0</v>
      </c>
    </row>
    <row r="129" spans="1:5" s="1" customFormat="1" x14ac:dyDescent="0.25">
      <c r="A129" s="4" t="s">
        <v>220</v>
      </c>
      <c r="B129" s="161"/>
      <c r="C129" s="161"/>
      <c r="D129" s="161"/>
      <c r="E129" s="160">
        <f t="shared" si="10"/>
        <v>0</v>
      </c>
    </row>
    <row r="130" spans="1:5" s="1" customFormat="1" x14ac:dyDescent="0.25">
      <c r="A130" s="4" t="s">
        <v>221</v>
      </c>
      <c r="B130" s="161"/>
      <c r="C130" s="161"/>
      <c r="D130" s="161"/>
      <c r="E130" s="160">
        <f t="shared" si="10"/>
        <v>0</v>
      </c>
    </row>
    <row r="131" spans="1:5" s="1" customFormat="1" x14ac:dyDescent="0.25">
      <c r="A131" s="4" t="s">
        <v>222</v>
      </c>
      <c r="B131" s="161"/>
      <c r="C131" s="161"/>
      <c r="D131" s="161"/>
      <c r="E131" s="160">
        <f t="shared" si="10"/>
        <v>0</v>
      </c>
    </row>
    <row r="132" spans="1:5" s="1" customFormat="1" x14ac:dyDescent="0.25">
      <c r="A132" s="4" t="s">
        <v>368</v>
      </c>
      <c r="B132" s="161">
        <v>42793488</v>
      </c>
      <c r="C132" s="161"/>
      <c r="D132" s="161"/>
      <c r="E132" s="160">
        <f t="shared" si="10"/>
        <v>42793488</v>
      </c>
    </row>
    <row r="133" spans="1:5" s="1" customFormat="1" ht="16.5" thickBot="1" x14ac:dyDescent="0.3">
      <c r="A133" s="12"/>
      <c r="B133" s="162"/>
      <c r="C133" s="162"/>
      <c r="D133" s="162"/>
      <c r="E133" s="311">
        <f t="shared" si="10"/>
        <v>0</v>
      </c>
    </row>
    <row r="134" spans="1:5" s="1" customFormat="1" ht="16.5" thickBot="1" x14ac:dyDescent="0.3">
      <c r="A134" s="42" t="s">
        <v>223</v>
      </c>
      <c r="B134" s="309">
        <f>SUM(B127:B133)</f>
        <v>42793488</v>
      </c>
      <c r="C134" s="309">
        <f>SUM(C127:C133)</f>
        <v>0</v>
      </c>
      <c r="D134" s="310"/>
      <c r="E134" s="314">
        <f t="shared" si="10"/>
        <v>42793488</v>
      </c>
    </row>
    <row r="135" spans="1:5" s="1" customFormat="1" ht="16.5" thickBot="1" x14ac:dyDescent="0.3">
      <c r="A135" s="2"/>
      <c r="B135" s="2"/>
      <c r="C135" s="2"/>
      <c r="D135" s="2"/>
      <c r="E135" s="2"/>
    </row>
    <row r="136" spans="1:5" s="1" customFormat="1" ht="16.5" thickBot="1" x14ac:dyDescent="0.3">
      <c r="A136" s="61" t="s">
        <v>224</v>
      </c>
      <c r="B136" s="6" t="s">
        <v>476</v>
      </c>
      <c r="C136" s="6" t="s">
        <v>504</v>
      </c>
      <c r="D136" s="6" t="s">
        <v>505</v>
      </c>
      <c r="E136" s="7" t="s">
        <v>213</v>
      </c>
    </row>
    <row r="137" spans="1:5" s="1" customFormat="1" x14ac:dyDescent="0.25">
      <c r="A137" s="9" t="s">
        <v>225</v>
      </c>
      <c r="B137" s="160"/>
      <c r="C137" s="160"/>
      <c r="D137" s="160"/>
      <c r="E137" s="160">
        <f>SUM(B137:D137)</f>
        <v>0</v>
      </c>
    </row>
    <row r="138" spans="1:5" s="1" customFormat="1" x14ac:dyDescent="0.25">
      <c r="A138" s="4" t="s">
        <v>226</v>
      </c>
      <c r="B138" s="161">
        <v>42570488</v>
      </c>
      <c r="C138" s="161"/>
      <c r="D138" s="161"/>
      <c r="E138" s="161">
        <f>SUM(B138:D138)</f>
        <v>42570488</v>
      </c>
    </row>
    <row r="139" spans="1:5" s="1" customFormat="1" x14ac:dyDescent="0.25">
      <c r="A139" s="4" t="s">
        <v>360</v>
      </c>
      <c r="B139" s="161">
        <v>223000</v>
      </c>
      <c r="C139" s="161"/>
      <c r="D139" s="161"/>
      <c r="E139" s="161">
        <f>SUM(B139:D139)</f>
        <v>223000</v>
      </c>
    </row>
    <row r="140" spans="1:5" s="1" customFormat="1" x14ac:dyDescent="0.25">
      <c r="A140" s="4" t="s">
        <v>227</v>
      </c>
      <c r="B140" s="161"/>
      <c r="C140" s="161"/>
      <c r="D140" s="161"/>
      <c r="E140" s="161"/>
    </row>
    <row r="141" spans="1:5" s="1" customFormat="1" ht="16.5" thickBot="1" x14ac:dyDescent="0.3">
      <c r="A141" s="12" t="s">
        <v>313</v>
      </c>
      <c r="B141" s="162"/>
      <c r="C141" s="162"/>
      <c r="D141" s="162"/>
      <c r="E141" s="162"/>
    </row>
    <row r="142" spans="1:5" s="1" customFormat="1" ht="16.5" thickBot="1" x14ac:dyDescent="0.3">
      <c r="A142" s="42" t="s">
        <v>228</v>
      </c>
      <c r="B142" s="309">
        <f>SUM(B137:B141)</f>
        <v>42793488</v>
      </c>
      <c r="C142" s="309">
        <f t="shared" ref="C142" si="11">SUM(C137:C141)</f>
        <v>0</v>
      </c>
      <c r="D142" s="309">
        <f>SUM(D137:D141)</f>
        <v>0</v>
      </c>
      <c r="E142" s="309">
        <f>SUM(E137:E141)</f>
        <v>42793488</v>
      </c>
    </row>
    <row r="143" spans="1:5" s="1" customFormat="1" x14ac:dyDescent="0.25">
      <c r="A143" s="312"/>
      <c r="B143" s="313"/>
      <c r="C143" s="313"/>
      <c r="D143" s="313"/>
      <c r="E143" s="313"/>
    </row>
    <row r="144" spans="1:5" s="1" customFormat="1" x14ac:dyDescent="0.25">
      <c r="A144" s="312"/>
      <c r="B144" s="313"/>
      <c r="C144" s="313"/>
      <c r="D144" s="313"/>
      <c r="E144" s="313"/>
    </row>
    <row r="145" spans="1:5" s="1" customFormat="1" ht="16.5" thickBot="1" x14ac:dyDescent="0.3">
      <c r="A145" s="2" t="s">
        <v>523</v>
      </c>
      <c r="B145" s="2"/>
      <c r="C145" s="2"/>
      <c r="D145" s="2"/>
      <c r="E145" s="2"/>
    </row>
    <row r="146" spans="1:5" s="1" customFormat="1" ht="16.5" thickBot="1" x14ac:dyDescent="0.3">
      <c r="A146" s="61" t="s">
        <v>217</v>
      </c>
      <c r="B146" s="6" t="s">
        <v>476</v>
      </c>
      <c r="C146" s="6" t="s">
        <v>504</v>
      </c>
      <c r="D146" s="6" t="s">
        <v>505</v>
      </c>
      <c r="E146" s="7" t="s">
        <v>213</v>
      </c>
    </row>
    <row r="147" spans="1:5" s="1" customFormat="1" x14ac:dyDescent="0.25">
      <c r="A147" s="9" t="s">
        <v>218</v>
      </c>
      <c r="B147" s="160"/>
      <c r="C147" s="160"/>
      <c r="D147" s="160"/>
      <c r="E147" s="160">
        <f>SUM(B147:D147)</f>
        <v>0</v>
      </c>
    </row>
    <row r="148" spans="1:5" s="1" customFormat="1" x14ac:dyDescent="0.25">
      <c r="A148" s="4" t="s">
        <v>219</v>
      </c>
      <c r="B148" s="161"/>
      <c r="C148" s="161"/>
      <c r="D148" s="161"/>
      <c r="E148" s="160">
        <f t="shared" ref="E148:E154" si="12">SUM(B148:D148)</f>
        <v>0</v>
      </c>
    </row>
    <row r="149" spans="1:5" s="1" customFormat="1" x14ac:dyDescent="0.25">
      <c r="A149" s="4" t="s">
        <v>220</v>
      </c>
      <c r="B149" s="161">
        <v>7261800</v>
      </c>
      <c r="C149" s="161"/>
      <c r="D149" s="161"/>
      <c r="E149" s="160">
        <f t="shared" si="12"/>
        <v>7261800</v>
      </c>
    </row>
    <row r="150" spans="1:5" s="1" customFormat="1" x14ac:dyDescent="0.25">
      <c r="A150" s="4" t="s">
        <v>221</v>
      </c>
      <c r="B150" s="161"/>
      <c r="C150" s="161"/>
      <c r="D150" s="161"/>
      <c r="E150" s="160">
        <f t="shared" si="12"/>
        <v>0</v>
      </c>
    </row>
    <row r="151" spans="1:5" s="1" customFormat="1" x14ac:dyDescent="0.25">
      <c r="A151" s="4" t="s">
        <v>222</v>
      </c>
      <c r="B151" s="161"/>
      <c r="C151" s="161"/>
      <c r="D151" s="161"/>
      <c r="E151" s="160">
        <f t="shared" si="12"/>
        <v>0</v>
      </c>
    </row>
    <row r="152" spans="1:5" s="1" customFormat="1" x14ac:dyDescent="0.25">
      <c r="A152" s="4" t="s">
        <v>368</v>
      </c>
      <c r="B152" s="161">
        <v>7906201</v>
      </c>
      <c r="C152" s="161"/>
      <c r="D152" s="161"/>
      <c r="E152" s="160">
        <f t="shared" si="12"/>
        <v>7906201</v>
      </c>
    </row>
    <row r="153" spans="1:5" s="1" customFormat="1" ht="16.5" thickBot="1" x14ac:dyDescent="0.3">
      <c r="A153" s="12"/>
      <c r="B153" s="162"/>
      <c r="C153" s="162"/>
      <c r="D153" s="162"/>
      <c r="E153" s="311">
        <f t="shared" si="12"/>
        <v>0</v>
      </c>
    </row>
    <row r="154" spans="1:5" s="1" customFormat="1" ht="16.5" thickBot="1" x14ac:dyDescent="0.3">
      <c r="A154" s="42" t="s">
        <v>223</v>
      </c>
      <c r="B154" s="309">
        <f>SUM(B147:B153)</f>
        <v>15168001</v>
      </c>
      <c r="C154" s="309">
        <f>SUM(C147:C153)</f>
        <v>0</v>
      </c>
      <c r="D154" s="310"/>
      <c r="E154" s="314">
        <f t="shared" si="12"/>
        <v>15168001</v>
      </c>
    </row>
    <row r="155" spans="1:5" s="1" customFormat="1" ht="16.5" thickBot="1" x14ac:dyDescent="0.3">
      <c r="A155" s="2"/>
      <c r="B155" s="2"/>
      <c r="C155" s="2"/>
      <c r="D155" s="2"/>
      <c r="E155" s="2"/>
    </row>
    <row r="156" spans="1:5" s="1" customFormat="1" ht="16.5" thickBot="1" x14ac:dyDescent="0.3">
      <c r="A156" s="61" t="s">
        <v>224</v>
      </c>
      <c r="B156" s="6" t="s">
        <v>476</v>
      </c>
      <c r="C156" s="6" t="s">
        <v>504</v>
      </c>
      <c r="D156" s="6" t="s">
        <v>505</v>
      </c>
      <c r="E156" s="7" t="s">
        <v>213</v>
      </c>
    </row>
    <row r="157" spans="1:5" s="1" customFormat="1" x14ac:dyDescent="0.25">
      <c r="A157" s="9" t="s">
        <v>225</v>
      </c>
      <c r="B157" s="160">
        <f>10640000+2801400</f>
        <v>13441400</v>
      </c>
      <c r="C157" s="160"/>
      <c r="D157" s="160"/>
      <c r="E157" s="160">
        <f>SUM(B157:D157)</f>
        <v>13441400</v>
      </c>
    </row>
    <row r="158" spans="1:5" s="1" customFormat="1" x14ac:dyDescent="0.25">
      <c r="A158" s="4" t="s">
        <v>226</v>
      </c>
      <c r="B158" s="161">
        <v>622601</v>
      </c>
      <c r="C158" s="161"/>
      <c r="D158" s="161"/>
      <c r="E158" s="161">
        <f>SUM(B158:D158)</f>
        <v>622601</v>
      </c>
    </row>
    <row r="159" spans="1:5" s="1" customFormat="1" x14ac:dyDescent="0.25">
      <c r="A159" s="4" t="s">
        <v>360</v>
      </c>
      <c r="B159" s="161">
        <v>552000</v>
      </c>
      <c r="C159" s="161"/>
      <c r="D159" s="161"/>
      <c r="E159" s="161">
        <f>SUM(B159:D159)</f>
        <v>552000</v>
      </c>
    </row>
    <row r="160" spans="1:5" s="1" customFormat="1" x14ac:dyDescent="0.25">
      <c r="A160" s="4" t="s">
        <v>227</v>
      </c>
      <c r="B160" s="161">
        <v>552000</v>
      </c>
      <c r="C160" s="161"/>
      <c r="D160" s="161"/>
      <c r="E160" s="161">
        <f>SUM(B160:D160)</f>
        <v>552000</v>
      </c>
    </row>
    <row r="161" spans="1:5" s="1" customFormat="1" ht="16.5" thickBot="1" x14ac:dyDescent="0.3">
      <c r="A161" s="12" t="s">
        <v>313</v>
      </c>
      <c r="B161" s="162"/>
      <c r="C161" s="162"/>
      <c r="D161" s="162"/>
      <c r="E161" s="162"/>
    </row>
    <row r="162" spans="1:5" s="1" customFormat="1" ht="16.5" thickBot="1" x14ac:dyDescent="0.3">
      <c r="A162" s="42" t="s">
        <v>228</v>
      </c>
      <c r="B162" s="309">
        <f>SUM(B157:B161)</f>
        <v>15168001</v>
      </c>
      <c r="C162" s="309">
        <f t="shared" ref="C162" si="13">SUM(C157:C161)</f>
        <v>0</v>
      </c>
      <c r="D162" s="309">
        <f>SUM(D157:D161)</f>
        <v>0</v>
      </c>
      <c r="E162" s="309">
        <f>SUM(E157:E161)</f>
        <v>15168001</v>
      </c>
    </row>
    <row r="163" spans="1:5" s="1" customFormat="1" x14ac:dyDescent="0.25">
      <c r="A163" s="312"/>
      <c r="B163" s="313"/>
      <c r="C163" s="313"/>
      <c r="D163" s="313"/>
      <c r="E163" s="313"/>
    </row>
    <row r="164" spans="1:5" s="1" customFormat="1" x14ac:dyDescent="0.25">
      <c r="A164" s="312"/>
      <c r="B164" s="313"/>
      <c r="C164" s="313"/>
      <c r="D164" s="313"/>
      <c r="E164" s="313"/>
    </row>
    <row r="165" spans="1:5" s="1" customFormat="1" ht="16.5" thickBot="1" x14ac:dyDescent="0.3">
      <c r="A165" s="2" t="s">
        <v>524</v>
      </c>
      <c r="B165" s="2"/>
      <c r="C165" s="2"/>
      <c r="D165" s="2"/>
      <c r="E165" s="2"/>
    </row>
    <row r="166" spans="1:5" s="1" customFormat="1" ht="16.5" thickBot="1" x14ac:dyDescent="0.3">
      <c r="A166" s="61" t="s">
        <v>217</v>
      </c>
      <c r="B166" s="6" t="s">
        <v>476</v>
      </c>
      <c r="C166" s="6" t="s">
        <v>504</v>
      </c>
      <c r="D166" s="6" t="s">
        <v>505</v>
      </c>
      <c r="E166" s="7" t="s">
        <v>213</v>
      </c>
    </row>
    <row r="167" spans="1:5" s="1" customFormat="1" x14ac:dyDescent="0.25">
      <c r="A167" s="9" t="s">
        <v>218</v>
      </c>
      <c r="B167" s="160"/>
      <c r="C167" s="160"/>
      <c r="D167" s="160"/>
      <c r="E167" s="160">
        <f>SUM(B167:D167)</f>
        <v>0</v>
      </c>
    </row>
    <row r="168" spans="1:5" s="1" customFormat="1" x14ac:dyDescent="0.25">
      <c r="A168" s="4" t="s">
        <v>219</v>
      </c>
      <c r="B168" s="161"/>
      <c r="C168" s="161"/>
      <c r="D168" s="161"/>
      <c r="E168" s="160">
        <f t="shared" ref="E168:E174" si="14">SUM(B168:D168)</f>
        <v>0</v>
      </c>
    </row>
    <row r="169" spans="1:5" s="1" customFormat="1" x14ac:dyDescent="0.25">
      <c r="A169" s="4" t="s">
        <v>220</v>
      </c>
      <c r="B169" s="161">
        <v>6736300</v>
      </c>
      <c r="C169" s="161"/>
      <c r="D169" s="161"/>
      <c r="E169" s="160">
        <f t="shared" si="14"/>
        <v>6736300</v>
      </c>
    </row>
    <row r="170" spans="1:5" s="1" customFormat="1" x14ac:dyDescent="0.25">
      <c r="A170" s="4" t="s">
        <v>221</v>
      </c>
      <c r="B170" s="161"/>
      <c r="C170" s="161"/>
      <c r="D170" s="161"/>
      <c r="E170" s="160">
        <f t="shared" si="14"/>
        <v>0</v>
      </c>
    </row>
    <row r="171" spans="1:5" s="1" customFormat="1" x14ac:dyDescent="0.25">
      <c r="A171" s="4" t="s">
        <v>222</v>
      </c>
      <c r="B171" s="161"/>
      <c r="C171" s="161"/>
      <c r="D171" s="161"/>
      <c r="E171" s="160">
        <f t="shared" si="14"/>
        <v>0</v>
      </c>
    </row>
    <row r="172" spans="1:5" s="1" customFormat="1" x14ac:dyDescent="0.25">
      <c r="A172" s="4" t="s">
        <v>368</v>
      </c>
      <c r="B172" s="161">
        <v>7301179</v>
      </c>
      <c r="C172" s="161"/>
      <c r="D172" s="161"/>
      <c r="E172" s="160">
        <f t="shared" si="14"/>
        <v>7301179</v>
      </c>
    </row>
    <row r="173" spans="1:5" s="1" customFormat="1" ht="16.5" thickBot="1" x14ac:dyDescent="0.3">
      <c r="A173" s="12"/>
      <c r="B173" s="162"/>
      <c r="C173" s="162"/>
      <c r="D173" s="162"/>
      <c r="E173" s="311">
        <f t="shared" si="14"/>
        <v>0</v>
      </c>
    </row>
    <row r="174" spans="1:5" s="1" customFormat="1" ht="16.5" thickBot="1" x14ac:dyDescent="0.3">
      <c r="A174" s="42" t="s">
        <v>223</v>
      </c>
      <c r="B174" s="309">
        <f>SUM(B167:B173)</f>
        <v>14037479</v>
      </c>
      <c r="C174" s="309">
        <f>SUM(C167:C173)</f>
        <v>0</v>
      </c>
      <c r="D174" s="310"/>
      <c r="E174" s="314">
        <f t="shared" si="14"/>
        <v>14037479</v>
      </c>
    </row>
    <row r="175" spans="1:5" s="1" customFormat="1" ht="16.5" thickBot="1" x14ac:dyDescent="0.3">
      <c r="A175" s="2"/>
      <c r="B175" s="2"/>
      <c r="C175" s="2"/>
      <c r="D175" s="2"/>
      <c r="E175" s="2"/>
    </row>
    <row r="176" spans="1:5" s="1" customFormat="1" ht="16.5" thickBot="1" x14ac:dyDescent="0.3">
      <c r="A176" s="61" t="s">
        <v>224</v>
      </c>
      <c r="B176" s="6" t="s">
        <v>476</v>
      </c>
      <c r="C176" s="6" t="s">
        <v>504</v>
      </c>
      <c r="D176" s="6" t="s">
        <v>505</v>
      </c>
      <c r="E176" s="7" t="s">
        <v>213</v>
      </c>
    </row>
    <row r="177" spans="1:5" s="1" customFormat="1" x14ac:dyDescent="0.25">
      <c r="A177" s="9" t="s">
        <v>225</v>
      </c>
      <c r="B177" s="160">
        <f>9069400+1715800</f>
        <v>10785200</v>
      </c>
      <c r="C177" s="160">
        <v>669200</v>
      </c>
      <c r="D177" s="160"/>
      <c r="E177" s="160">
        <f>SUM(B177:D177)</f>
        <v>11454400</v>
      </c>
    </row>
    <row r="178" spans="1:5" s="1" customFormat="1" x14ac:dyDescent="0.25">
      <c r="A178" s="4" t="s">
        <v>226</v>
      </c>
      <c r="B178" s="161">
        <f>1270000+154472</f>
        <v>1424472</v>
      </c>
      <c r="C178" s="161">
        <v>54607</v>
      </c>
      <c r="D178" s="161"/>
      <c r="E178" s="161">
        <f>SUM(B178:D178)</f>
        <v>1479079</v>
      </c>
    </row>
    <row r="179" spans="1:5" s="1" customFormat="1" x14ac:dyDescent="0.25">
      <c r="A179" s="4" t="s">
        <v>360</v>
      </c>
      <c r="B179" s="161">
        <v>552000</v>
      </c>
      <c r="C179" s="161"/>
      <c r="D179" s="161"/>
      <c r="E179" s="161">
        <f>SUM(B179:D179)</f>
        <v>552000</v>
      </c>
    </row>
    <row r="180" spans="1:5" s="1" customFormat="1" x14ac:dyDescent="0.25">
      <c r="A180" s="4" t="s">
        <v>227</v>
      </c>
      <c r="B180" s="161">
        <v>552000</v>
      </c>
      <c r="C180" s="161"/>
      <c r="D180" s="161"/>
      <c r="E180" s="161">
        <f>SUM(B180:D180)</f>
        <v>552000</v>
      </c>
    </row>
    <row r="181" spans="1:5" s="1" customFormat="1" ht="16.5" thickBot="1" x14ac:dyDescent="0.3">
      <c r="A181" s="12" t="s">
        <v>313</v>
      </c>
      <c r="B181" s="162"/>
      <c r="C181" s="162"/>
      <c r="D181" s="162"/>
      <c r="E181" s="162"/>
    </row>
    <row r="182" spans="1:5" s="1" customFormat="1" ht="16.5" thickBot="1" x14ac:dyDescent="0.3">
      <c r="A182" s="42" t="s">
        <v>228</v>
      </c>
      <c r="B182" s="309">
        <f>SUM(B177:B181)</f>
        <v>13313672</v>
      </c>
      <c r="C182" s="309">
        <f t="shared" ref="C182" si="15">SUM(C177:C181)</f>
        <v>723807</v>
      </c>
      <c r="D182" s="309">
        <f>SUM(D177:D181)</f>
        <v>0</v>
      </c>
      <c r="E182" s="309">
        <f>SUM(E177:E181)</f>
        <v>14037479</v>
      </c>
    </row>
    <row r="183" spans="1:5" s="1" customFormat="1" x14ac:dyDescent="0.25">
      <c r="A183" s="312"/>
      <c r="B183" s="313"/>
      <c r="C183" s="313"/>
      <c r="D183" s="313"/>
      <c r="E183" s="313"/>
    </row>
    <row r="184" spans="1:5" s="1" customFormat="1" x14ac:dyDescent="0.25">
      <c r="A184" s="312"/>
      <c r="B184" s="313"/>
      <c r="C184" s="313"/>
      <c r="D184" s="313"/>
      <c r="E184" s="313"/>
    </row>
    <row r="185" spans="1:5" s="1" customFormat="1" ht="37.5" customHeight="1" thickBot="1" x14ac:dyDescent="0.3">
      <c r="A185" s="387" t="s">
        <v>525</v>
      </c>
      <c r="B185" s="387"/>
      <c r="C185" s="387"/>
      <c r="D185" s="387"/>
      <c r="E185" s="387"/>
    </row>
    <row r="186" spans="1:5" s="1" customFormat="1" ht="16.5" thickBot="1" x14ac:dyDescent="0.3">
      <c r="A186" s="61" t="s">
        <v>217</v>
      </c>
      <c r="B186" s="6" t="s">
        <v>476</v>
      </c>
      <c r="C186" s="6" t="s">
        <v>504</v>
      </c>
      <c r="D186" s="6" t="s">
        <v>505</v>
      </c>
      <c r="E186" s="7" t="s">
        <v>213</v>
      </c>
    </row>
    <row r="187" spans="1:5" s="1" customFormat="1" x14ac:dyDescent="0.25">
      <c r="A187" s="9" t="s">
        <v>218</v>
      </c>
      <c r="B187" s="160"/>
      <c r="C187" s="160"/>
      <c r="D187" s="160"/>
      <c r="E187" s="160">
        <f>SUM(B187:D187)</f>
        <v>0</v>
      </c>
    </row>
    <row r="188" spans="1:5" s="1" customFormat="1" x14ac:dyDescent="0.25">
      <c r="A188" s="4" t="s">
        <v>219</v>
      </c>
      <c r="B188" s="161"/>
      <c r="C188" s="161"/>
      <c r="D188" s="161"/>
      <c r="E188" s="160">
        <f t="shared" ref="E188:E194" si="16">SUM(B188:D188)</f>
        <v>0</v>
      </c>
    </row>
    <row r="189" spans="1:5" s="1" customFormat="1" x14ac:dyDescent="0.25">
      <c r="A189" s="4" t="s">
        <v>220</v>
      </c>
      <c r="B189" s="161"/>
      <c r="C189" s="161"/>
      <c r="D189" s="161"/>
      <c r="E189" s="160">
        <f t="shared" si="16"/>
        <v>0</v>
      </c>
    </row>
    <row r="190" spans="1:5" s="1" customFormat="1" x14ac:dyDescent="0.25">
      <c r="A190" s="4" t="s">
        <v>221</v>
      </c>
      <c r="B190" s="161"/>
      <c r="C190" s="161"/>
      <c r="D190" s="161"/>
      <c r="E190" s="160">
        <f t="shared" si="16"/>
        <v>0</v>
      </c>
    </row>
    <row r="191" spans="1:5" s="1" customFormat="1" x14ac:dyDescent="0.25">
      <c r="A191" s="4" t="s">
        <v>222</v>
      </c>
      <c r="B191" s="161"/>
      <c r="C191" s="161"/>
      <c r="D191" s="161"/>
      <c r="E191" s="160">
        <f t="shared" si="16"/>
        <v>0</v>
      </c>
    </row>
    <row r="192" spans="1:5" s="1" customFormat="1" x14ac:dyDescent="0.25">
      <c r="A192" s="4" t="s">
        <v>368</v>
      </c>
      <c r="B192" s="161">
        <v>25322853</v>
      </c>
      <c r="C192" s="161"/>
      <c r="D192" s="161"/>
      <c r="E192" s="160">
        <f t="shared" si="16"/>
        <v>25322853</v>
      </c>
    </row>
    <row r="193" spans="1:5" s="1" customFormat="1" ht="16.5" thickBot="1" x14ac:dyDescent="0.3">
      <c r="A193" s="12"/>
      <c r="B193" s="162"/>
      <c r="C193" s="162"/>
      <c r="D193" s="162"/>
      <c r="E193" s="311">
        <f t="shared" si="16"/>
        <v>0</v>
      </c>
    </row>
    <row r="194" spans="1:5" s="1" customFormat="1" ht="16.5" thickBot="1" x14ac:dyDescent="0.3">
      <c r="A194" s="42" t="s">
        <v>223</v>
      </c>
      <c r="B194" s="309">
        <f>SUM(B187:B193)</f>
        <v>25322853</v>
      </c>
      <c r="C194" s="309">
        <f>SUM(C187:C193)</f>
        <v>0</v>
      </c>
      <c r="D194" s="310"/>
      <c r="E194" s="314">
        <f t="shared" si="16"/>
        <v>25322853</v>
      </c>
    </row>
    <row r="195" spans="1:5" s="1" customFormat="1" ht="16.5" thickBot="1" x14ac:dyDescent="0.3">
      <c r="A195" s="2"/>
      <c r="B195" s="2"/>
      <c r="C195" s="2"/>
      <c r="D195" s="2"/>
      <c r="E195" s="2"/>
    </row>
    <row r="196" spans="1:5" s="1" customFormat="1" ht="16.5" thickBot="1" x14ac:dyDescent="0.3">
      <c r="A196" s="61" t="s">
        <v>224</v>
      </c>
      <c r="B196" s="6" t="s">
        <v>476</v>
      </c>
      <c r="C196" s="6" t="s">
        <v>504</v>
      </c>
      <c r="D196" s="6" t="s">
        <v>505</v>
      </c>
      <c r="E196" s="7" t="s">
        <v>213</v>
      </c>
    </row>
    <row r="197" spans="1:5" s="1" customFormat="1" x14ac:dyDescent="0.25">
      <c r="A197" s="9" t="s">
        <v>225</v>
      </c>
      <c r="B197" s="160">
        <f>4253544+1224720</f>
        <v>5478264</v>
      </c>
      <c r="C197" s="160">
        <f>2126776+612360</f>
        <v>2739136</v>
      </c>
      <c r="D197" s="160"/>
      <c r="E197" s="160">
        <f>SUM(B197:D197)</f>
        <v>8217400</v>
      </c>
    </row>
    <row r="198" spans="1:5" s="1" customFormat="1" x14ac:dyDescent="0.25">
      <c r="A198" s="4" t="s">
        <v>226</v>
      </c>
      <c r="B198" s="161"/>
      <c r="C198" s="161"/>
      <c r="D198" s="161"/>
      <c r="E198" s="161">
        <f>SUM(B198:D198)</f>
        <v>0</v>
      </c>
    </row>
    <row r="199" spans="1:5" s="1" customFormat="1" x14ac:dyDescent="0.25">
      <c r="A199" s="4" t="s">
        <v>360</v>
      </c>
      <c r="B199" s="161"/>
      <c r="C199" s="161"/>
      <c r="D199" s="161"/>
      <c r="E199" s="161">
        <f>SUM(B199:D199)</f>
        <v>0</v>
      </c>
    </row>
    <row r="200" spans="1:5" s="1" customFormat="1" x14ac:dyDescent="0.25">
      <c r="A200" s="4" t="s">
        <v>227</v>
      </c>
      <c r="B200" s="161">
        <v>12350796</v>
      </c>
      <c r="C200" s="161">
        <v>4754657</v>
      </c>
      <c r="D200" s="161"/>
      <c r="E200" s="161">
        <f>SUM(B200:D200)</f>
        <v>17105453</v>
      </c>
    </row>
    <row r="201" spans="1:5" s="1" customFormat="1" ht="16.5" thickBot="1" x14ac:dyDescent="0.3">
      <c r="A201" s="12" t="s">
        <v>313</v>
      </c>
      <c r="B201" s="162"/>
      <c r="C201" s="162"/>
      <c r="D201" s="162"/>
      <c r="E201" s="162"/>
    </row>
    <row r="202" spans="1:5" s="1" customFormat="1" ht="16.5" thickBot="1" x14ac:dyDescent="0.3">
      <c r="A202" s="42" t="s">
        <v>228</v>
      </c>
      <c r="B202" s="309">
        <f>SUM(B197:B201)</f>
        <v>17829060</v>
      </c>
      <c r="C202" s="309">
        <f t="shared" ref="C202" si="17">SUM(C197:C201)</f>
        <v>7493793</v>
      </c>
      <c r="D202" s="309">
        <f>SUM(D197:D201)</f>
        <v>0</v>
      </c>
      <c r="E202" s="309">
        <f>SUM(E197:E201)</f>
        <v>25322853</v>
      </c>
    </row>
    <row r="203" spans="1:5" s="1" customFormat="1" x14ac:dyDescent="0.25">
      <c r="A203" s="312"/>
      <c r="B203" s="313"/>
      <c r="C203" s="313"/>
      <c r="D203" s="313"/>
      <c r="E203" s="313"/>
    </row>
    <row r="204" spans="1:5" s="1" customFormat="1" x14ac:dyDescent="0.25">
      <c r="A204" s="312"/>
      <c r="B204" s="313"/>
      <c r="C204" s="313"/>
      <c r="D204" s="313"/>
      <c r="E204" s="313"/>
    </row>
    <row r="205" spans="1:5" s="1" customFormat="1" ht="16.5" thickBot="1" x14ac:dyDescent="0.3">
      <c r="A205" s="387" t="s">
        <v>526</v>
      </c>
      <c r="B205" s="387"/>
      <c r="C205" s="387"/>
      <c r="D205" s="387"/>
      <c r="E205" s="387"/>
    </row>
    <row r="206" spans="1:5" s="1" customFormat="1" ht="16.5" thickBot="1" x14ac:dyDescent="0.3">
      <c r="A206" s="61" t="s">
        <v>217</v>
      </c>
      <c r="B206" s="6" t="s">
        <v>476</v>
      </c>
      <c r="C206" s="6" t="s">
        <v>504</v>
      </c>
      <c r="D206" s="6" t="s">
        <v>505</v>
      </c>
      <c r="E206" s="7" t="s">
        <v>213</v>
      </c>
    </row>
    <row r="207" spans="1:5" s="1" customFormat="1" x14ac:dyDescent="0.25">
      <c r="A207" s="9" t="s">
        <v>218</v>
      </c>
      <c r="B207" s="160">
        <v>54528</v>
      </c>
      <c r="C207" s="160"/>
      <c r="D207" s="160"/>
      <c r="E207" s="160">
        <f>SUM(B207:D207)</f>
        <v>54528</v>
      </c>
    </row>
    <row r="208" spans="1:5" s="1" customFormat="1" x14ac:dyDescent="0.25">
      <c r="A208" s="4" t="s">
        <v>219</v>
      </c>
      <c r="B208" s="161"/>
      <c r="C208" s="161"/>
      <c r="D208" s="161"/>
      <c r="E208" s="160">
        <f t="shared" ref="E208:E214" si="18">SUM(B208:D208)</f>
        <v>0</v>
      </c>
    </row>
    <row r="209" spans="1:5" s="1" customFormat="1" x14ac:dyDescent="0.25">
      <c r="A209" s="4" t="s">
        <v>220</v>
      </c>
      <c r="B209" s="161"/>
      <c r="C209" s="161"/>
      <c r="D209" s="161"/>
      <c r="E209" s="160">
        <f t="shared" si="18"/>
        <v>0</v>
      </c>
    </row>
    <row r="210" spans="1:5" s="1" customFormat="1" x14ac:dyDescent="0.25">
      <c r="A210" s="4" t="s">
        <v>221</v>
      </c>
      <c r="B210" s="161"/>
      <c r="C210" s="161"/>
      <c r="D210" s="161"/>
      <c r="E210" s="160">
        <f t="shared" si="18"/>
        <v>0</v>
      </c>
    </row>
    <row r="211" spans="1:5" s="1" customFormat="1" x14ac:dyDescent="0.25">
      <c r="A211" s="4" t="s">
        <v>222</v>
      </c>
      <c r="B211" s="161"/>
      <c r="C211" s="161"/>
      <c r="D211" s="161"/>
      <c r="E211" s="160">
        <f t="shared" si="18"/>
        <v>0</v>
      </c>
    </row>
    <row r="212" spans="1:5" s="1" customFormat="1" x14ac:dyDescent="0.25">
      <c r="A212" s="4" t="s">
        <v>368</v>
      </c>
      <c r="B212" s="161">
        <v>19470075</v>
      </c>
      <c r="C212" s="161"/>
      <c r="D212" s="161"/>
      <c r="E212" s="160">
        <f t="shared" si="18"/>
        <v>19470075</v>
      </c>
    </row>
    <row r="213" spans="1:5" s="1" customFormat="1" ht="16.5" thickBot="1" x14ac:dyDescent="0.3">
      <c r="A213" s="12"/>
      <c r="B213" s="162"/>
      <c r="C213" s="162"/>
      <c r="D213" s="162"/>
      <c r="E213" s="311">
        <f t="shared" si="18"/>
        <v>0</v>
      </c>
    </row>
    <row r="214" spans="1:5" s="1" customFormat="1" ht="16.5" thickBot="1" x14ac:dyDescent="0.3">
      <c r="A214" s="42" t="s">
        <v>223</v>
      </c>
      <c r="B214" s="309">
        <f>SUM(B207:B213)</f>
        <v>19524603</v>
      </c>
      <c r="C214" s="309">
        <f>SUM(C207:C213)</f>
        <v>0</v>
      </c>
      <c r="D214" s="310"/>
      <c r="E214" s="314">
        <f t="shared" si="18"/>
        <v>19524603</v>
      </c>
    </row>
    <row r="215" spans="1:5" s="1" customFormat="1" ht="16.5" thickBot="1" x14ac:dyDescent="0.3">
      <c r="A215" s="2"/>
      <c r="B215" s="2"/>
      <c r="C215" s="2"/>
      <c r="D215" s="2"/>
      <c r="E215" s="2"/>
    </row>
    <row r="216" spans="1:5" s="1" customFormat="1" ht="16.5" thickBot="1" x14ac:dyDescent="0.3">
      <c r="A216" s="61" t="s">
        <v>224</v>
      </c>
      <c r="B216" s="6" t="s">
        <v>476</v>
      </c>
      <c r="C216" s="6" t="s">
        <v>504</v>
      </c>
      <c r="D216" s="6" t="s">
        <v>505</v>
      </c>
      <c r="E216" s="7" t="s">
        <v>213</v>
      </c>
    </row>
    <row r="217" spans="1:5" s="1" customFormat="1" x14ac:dyDescent="0.25">
      <c r="A217" s="9" t="s">
        <v>225</v>
      </c>
      <c r="B217" s="160">
        <v>143400</v>
      </c>
      <c r="C217" s="160"/>
      <c r="D217" s="160"/>
      <c r="E217" s="160">
        <f>SUM(B217:D217)</f>
        <v>143400</v>
      </c>
    </row>
    <row r="218" spans="1:5" s="1" customFormat="1" x14ac:dyDescent="0.25">
      <c r="A218" s="4" t="s">
        <v>226</v>
      </c>
      <c r="B218" s="161"/>
      <c r="C218" s="161"/>
      <c r="D218" s="161"/>
      <c r="E218" s="161">
        <f>SUM(B218:D218)</f>
        <v>0</v>
      </c>
    </row>
    <row r="219" spans="1:5" s="1" customFormat="1" x14ac:dyDescent="0.25">
      <c r="A219" s="4" t="s">
        <v>360</v>
      </c>
      <c r="B219" s="161">
        <v>19381203</v>
      </c>
      <c r="C219" s="161"/>
      <c r="D219" s="161"/>
      <c r="E219" s="161">
        <f>SUM(B219:D219)</f>
        <v>19381203</v>
      </c>
    </row>
    <row r="220" spans="1:5" s="1" customFormat="1" x14ac:dyDescent="0.25">
      <c r="A220" s="4" t="s">
        <v>227</v>
      </c>
      <c r="B220" s="161"/>
      <c r="C220" s="161"/>
      <c r="D220" s="161"/>
      <c r="E220" s="161">
        <f>SUM(B220:D220)</f>
        <v>0</v>
      </c>
    </row>
    <row r="221" spans="1:5" s="1" customFormat="1" ht="16.5" thickBot="1" x14ac:dyDescent="0.3">
      <c r="A221" s="12" t="s">
        <v>313</v>
      </c>
      <c r="B221" s="162"/>
      <c r="C221" s="162"/>
      <c r="D221" s="162"/>
      <c r="E221" s="162"/>
    </row>
    <row r="222" spans="1:5" s="1" customFormat="1" ht="16.5" thickBot="1" x14ac:dyDescent="0.3">
      <c r="A222" s="42" t="s">
        <v>228</v>
      </c>
      <c r="B222" s="309">
        <f>SUM(B217:B221)</f>
        <v>19524603</v>
      </c>
      <c r="C222" s="309">
        <f t="shared" ref="C222" si="19">SUM(C217:C221)</f>
        <v>0</v>
      </c>
      <c r="D222" s="309">
        <f>SUM(D217:D221)</f>
        <v>0</v>
      </c>
      <c r="E222" s="309">
        <f>SUM(E217:E221)</f>
        <v>19524603</v>
      </c>
    </row>
    <row r="223" spans="1:5" s="1" customFormat="1" x14ac:dyDescent="0.25">
      <c r="A223" s="312"/>
      <c r="B223" s="313"/>
      <c r="C223" s="313"/>
      <c r="D223" s="313"/>
      <c r="E223" s="313"/>
    </row>
    <row r="224" spans="1:5" s="1" customFormat="1" x14ac:dyDescent="0.25">
      <c r="A224" s="312"/>
      <c r="B224" s="313"/>
      <c r="C224" s="313"/>
      <c r="D224" s="313"/>
      <c r="E224" s="313"/>
    </row>
    <row r="225" spans="1:5" s="1" customFormat="1" ht="16.5" thickBot="1" x14ac:dyDescent="0.3">
      <c r="A225" s="387" t="s">
        <v>578</v>
      </c>
      <c r="B225" s="387"/>
      <c r="C225" s="387"/>
      <c r="D225" s="387"/>
      <c r="E225" s="387"/>
    </row>
    <row r="226" spans="1:5" s="1" customFormat="1" ht="16.5" thickBot="1" x14ac:dyDescent="0.3">
      <c r="A226" s="61" t="s">
        <v>217</v>
      </c>
      <c r="B226" s="6" t="s">
        <v>476</v>
      </c>
      <c r="C226" s="6" t="s">
        <v>504</v>
      </c>
      <c r="D226" s="6" t="s">
        <v>505</v>
      </c>
      <c r="E226" s="7" t="s">
        <v>213</v>
      </c>
    </row>
    <row r="227" spans="1:5" s="1" customFormat="1" x14ac:dyDescent="0.25">
      <c r="A227" s="9" t="s">
        <v>218</v>
      </c>
      <c r="B227" s="160">
        <v>460350</v>
      </c>
      <c r="C227" s="160"/>
      <c r="D227" s="160"/>
      <c r="E227" s="160">
        <f>SUM(B227:D227)</f>
        <v>460350</v>
      </c>
    </row>
    <row r="228" spans="1:5" s="1" customFormat="1" x14ac:dyDescent="0.25">
      <c r="A228" s="4" t="s">
        <v>219</v>
      </c>
      <c r="B228" s="161"/>
      <c r="C228" s="161"/>
      <c r="D228" s="161"/>
      <c r="E228" s="160">
        <f t="shared" ref="E228:E234" si="20">SUM(B228:D228)</f>
        <v>0</v>
      </c>
    </row>
    <row r="229" spans="1:5" s="1" customFormat="1" x14ac:dyDescent="0.25">
      <c r="A229" s="4" t="s">
        <v>220</v>
      </c>
      <c r="B229" s="161">
        <v>15345000</v>
      </c>
      <c r="C229" s="161"/>
      <c r="D229" s="161"/>
      <c r="E229" s="160">
        <f t="shared" si="20"/>
        <v>15345000</v>
      </c>
    </row>
    <row r="230" spans="1:5" s="1" customFormat="1" x14ac:dyDescent="0.25">
      <c r="A230" s="4" t="s">
        <v>221</v>
      </c>
      <c r="B230" s="161"/>
      <c r="C230" s="161"/>
      <c r="D230" s="161"/>
      <c r="E230" s="160">
        <f t="shared" si="20"/>
        <v>0</v>
      </c>
    </row>
    <row r="231" spans="1:5" s="1" customFormat="1" x14ac:dyDescent="0.25">
      <c r="A231" s="4" t="s">
        <v>222</v>
      </c>
      <c r="B231" s="161"/>
      <c r="C231" s="161"/>
      <c r="D231" s="161"/>
      <c r="E231" s="160">
        <f t="shared" si="20"/>
        <v>0</v>
      </c>
    </row>
    <row r="232" spans="1:5" s="1" customFormat="1" x14ac:dyDescent="0.25">
      <c r="A232" s="4" t="s">
        <v>368</v>
      </c>
      <c r="B232" s="161"/>
      <c r="C232" s="161"/>
      <c r="D232" s="161"/>
      <c r="E232" s="160">
        <f t="shared" si="20"/>
        <v>0</v>
      </c>
    </row>
    <row r="233" spans="1:5" s="1" customFormat="1" ht="16.5" thickBot="1" x14ac:dyDescent="0.3">
      <c r="A233" s="12"/>
      <c r="B233" s="162"/>
      <c r="C233" s="162"/>
      <c r="D233" s="162"/>
      <c r="E233" s="311">
        <f t="shared" si="20"/>
        <v>0</v>
      </c>
    </row>
    <row r="234" spans="1:5" s="1" customFormat="1" ht="16.5" thickBot="1" x14ac:dyDescent="0.3">
      <c r="A234" s="42" t="s">
        <v>223</v>
      </c>
      <c r="B234" s="309">
        <f>SUM(B227:B233)</f>
        <v>15805350</v>
      </c>
      <c r="C234" s="309">
        <f>SUM(C227:C233)</f>
        <v>0</v>
      </c>
      <c r="D234" s="310"/>
      <c r="E234" s="314">
        <f t="shared" si="20"/>
        <v>15805350</v>
      </c>
    </row>
    <row r="235" spans="1:5" s="1" customFormat="1" ht="16.5" thickBot="1" x14ac:dyDescent="0.3">
      <c r="A235" s="2"/>
      <c r="B235" s="2"/>
      <c r="C235" s="2"/>
      <c r="D235" s="2"/>
      <c r="E235" s="2"/>
    </row>
    <row r="236" spans="1:5" s="1" customFormat="1" ht="16.5" thickBot="1" x14ac:dyDescent="0.3">
      <c r="A236" s="61" t="s">
        <v>224</v>
      </c>
      <c r="B236" s="6" t="s">
        <v>476</v>
      </c>
      <c r="C236" s="6" t="s">
        <v>504</v>
      </c>
      <c r="D236" s="6" t="s">
        <v>505</v>
      </c>
      <c r="E236" s="7" t="s">
        <v>213</v>
      </c>
    </row>
    <row r="237" spans="1:5" s="1" customFormat="1" x14ac:dyDescent="0.25">
      <c r="A237" s="9" t="s">
        <v>225</v>
      </c>
      <c r="B237" s="160"/>
      <c r="C237" s="160"/>
      <c r="D237" s="160"/>
      <c r="E237" s="160">
        <f>SUM(B237:D237)</f>
        <v>0</v>
      </c>
    </row>
    <row r="238" spans="1:5" s="1" customFormat="1" x14ac:dyDescent="0.25">
      <c r="A238" s="4" t="s">
        <v>226</v>
      </c>
      <c r="B238" s="161">
        <v>15345000</v>
      </c>
      <c r="C238" s="161"/>
      <c r="D238" s="161"/>
      <c r="E238" s="161">
        <f>SUM(B238:D238)</f>
        <v>15345000</v>
      </c>
    </row>
    <row r="239" spans="1:5" s="1" customFormat="1" x14ac:dyDescent="0.25">
      <c r="A239" s="4" t="s">
        <v>360</v>
      </c>
      <c r="B239" s="161">
        <v>460350</v>
      </c>
      <c r="C239" s="161"/>
      <c r="D239" s="161"/>
      <c r="E239" s="161">
        <f>SUM(B239:D239)</f>
        <v>460350</v>
      </c>
    </row>
    <row r="240" spans="1:5" s="1" customFormat="1" x14ac:dyDescent="0.25">
      <c r="A240" s="4" t="s">
        <v>227</v>
      </c>
      <c r="B240" s="161"/>
      <c r="C240" s="161"/>
      <c r="D240" s="161"/>
      <c r="E240" s="161">
        <f>SUM(B240:D240)</f>
        <v>0</v>
      </c>
    </row>
    <row r="241" spans="1:5" s="1" customFormat="1" ht="16.5" thickBot="1" x14ac:dyDescent="0.3">
      <c r="A241" s="12" t="s">
        <v>313</v>
      </c>
      <c r="B241" s="162"/>
      <c r="C241" s="162"/>
      <c r="D241" s="162"/>
      <c r="E241" s="162"/>
    </row>
    <row r="242" spans="1:5" s="1" customFormat="1" ht="16.5" thickBot="1" x14ac:dyDescent="0.3">
      <c r="A242" s="42" t="s">
        <v>228</v>
      </c>
      <c r="B242" s="309">
        <f>SUM(B237:B241)</f>
        <v>15805350</v>
      </c>
      <c r="C242" s="309">
        <f t="shared" ref="C242" si="21">SUM(C237:C241)</f>
        <v>0</v>
      </c>
      <c r="D242" s="309">
        <f>SUM(D237:D241)</f>
        <v>0</v>
      </c>
      <c r="E242" s="309">
        <f>SUM(E237:E241)</f>
        <v>15805350</v>
      </c>
    </row>
    <row r="243" spans="1:5" s="1" customFormat="1" x14ac:dyDescent="0.25">
      <c r="A243" s="312"/>
      <c r="B243" s="313"/>
      <c r="C243" s="313"/>
      <c r="D243" s="313"/>
      <c r="E243" s="313"/>
    </row>
    <row r="244" spans="1:5" s="1" customFormat="1" x14ac:dyDescent="0.25">
      <c r="A244" s="312"/>
      <c r="B244" s="313"/>
      <c r="C244" s="313"/>
      <c r="D244" s="313"/>
      <c r="E244" s="313"/>
    </row>
    <row r="245" spans="1:5" s="1" customFormat="1" ht="16.5" thickBot="1" x14ac:dyDescent="0.3">
      <c r="A245" s="387" t="s">
        <v>579</v>
      </c>
      <c r="B245" s="387"/>
      <c r="C245" s="387"/>
      <c r="D245" s="387"/>
      <c r="E245" s="387"/>
    </row>
    <row r="246" spans="1:5" s="1" customFormat="1" ht="16.5" thickBot="1" x14ac:dyDescent="0.3">
      <c r="A246" s="61" t="s">
        <v>217</v>
      </c>
      <c r="B246" s="6" t="s">
        <v>476</v>
      </c>
      <c r="C246" s="6" t="s">
        <v>504</v>
      </c>
      <c r="D246" s="6" t="s">
        <v>505</v>
      </c>
      <c r="E246" s="7" t="s">
        <v>213</v>
      </c>
    </row>
    <row r="247" spans="1:5" s="1" customFormat="1" x14ac:dyDescent="0.25">
      <c r="A247" s="9" t="s">
        <v>218</v>
      </c>
      <c r="B247" s="160">
        <v>52700</v>
      </c>
      <c r="C247" s="160"/>
      <c r="D247" s="160"/>
      <c r="E247" s="160">
        <f>SUM(B247:D247)</f>
        <v>52700</v>
      </c>
    </row>
    <row r="248" spans="1:5" s="1" customFormat="1" x14ac:dyDescent="0.25">
      <c r="A248" s="4" t="s">
        <v>219</v>
      </c>
      <c r="B248" s="161"/>
      <c r="C248" s="161"/>
      <c r="D248" s="161"/>
      <c r="E248" s="160">
        <f t="shared" ref="E248:E254" si="22">SUM(B248:D248)</f>
        <v>0</v>
      </c>
    </row>
    <row r="249" spans="1:5" s="1" customFormat="1" x14ac:dyDescent="0.25">
      <c r="A249" s="4" t="s">
        <v>220</v>
      </c>
      <c r="B249" s="161">
        <v>300000</v>
      </c>
      <c r="C249" s="161"/>
      <c r="D249" s="161"/>
      <c r="E249" s="160">
        <f t="shared" si="22"/>
        <v>300000</v>
      </c>
    </row>
    <row r="250" spans="1:5" s="1" customFormat="1" x14ac:dyDescent="0.25">
      <c r="A250" s="4" t="s">
        <v>221</v>
      </c>
      <c r="B250" s="161"/>
      <c r="C250" s="161"/>
      <c r="D250" s="161"/>
      <c r="E250" s="160">
        <f t="shared" si="22"/>
        <v>0</v>
      </c>
    </row>
    <row r="251" spans="1:5" s="1" customFormat="1" x14ac:dyDescent="0.25">
      <c r="A251" s="4" t="s">
        <v>222</v>
      </c>
      <c r="B251" s="161"/>
      <c r="C251" s="161"/>
      <c r="D251" s="161"/>
      <c r="E251" s="160">
        <f t="shared" si="22"/>
        <v>0</v>
      </c>
    </row>
    <row r="252" spans="1:5" s="1" customFormat="1" x14ac:dyDescent="0.25">
      <c r="A252" s="4" t="s">
        <v>368</v>
      </c>
      <c r="B252" s="161"/>
      <c r="C252" s="161"/>
      <c r="D252" s="161"/>
      <c r="E252" s="160">
        <f t="shared" si="22"/>
        <v>0</v>
      </c>
    </row>
    <row r="253" spans="1:5" s="1" customFormat="1" ht="16.5" thickBot="1" x14ac:dyDescent="0.3">
      <c r="A253" s="12"/>
      <c r="B253" s="162"/>
      <c r="C253" s="162"/>
      <c r="D253" s="162"/>
      <c r="E253" s="311">
        <f t="shared" si="22"/>
        <v>0</v>
      </c>
    </row>
    <row r="254" spans="1:5" s="1" customFormat="1" ht="16.5" thickBot="1" x14ac:dyDescent="0.3">
      <c r="A254" s="42" t="s">
        <v>223</v>
      </c>
      <c r="B254" s="309">
        <f>SUM(B247:B253)</f>
        <v>352700</v>
      </c>
      <c r="C254" s="309">
        <f>SUM(C247:C253)</f>
        <v>0</v>
      </c>
      <c r="D254" s="310"/>
      <c r="E254" s="314">
        <f t="shared" si="22"/>
        <v>352700</v>
      </c>
    </row>
    <row r="255" spans="1:5" s="1" customFormat="1" ht="16.5" thickBot="1" x14ac:dyDescent="0.3">
      <c r="A255" s="2"/>
      <c r="B255" s="2"/>
      <c r="C255" s="2"/>
      <c r="D255" s="2"/>
      <c r="E255" s="2"/>
    </row>
    <row r="256" spans="1:5" s="1" customFormat="1" ht="16.5" thickBot="1" x14ac:dyDescent="0.3">
      <c r="A256" s="61" t="s">
        <v>224</v>
      </c>
      <c r="B256" s="6" t="s">
        <v>476</v>
      </c>
      <c r="C256" s="6" t="s">
        <v>504</v>
      </c>
      <c r="D256" s="6" t="s">
        <v>505</v>
      </c>
      <c r="E256" s="7" t="s">
        <v>213</v>
      </c>
    </row>
    <row r="257" spans="1:5" s="1" customFormat="1" x14ac:dyDescent="0.25">
      <c r="A257" s="9" t="s">
        <v>225</v>
      </c>
      <c r="B257" s="160"/>
      <c r="C257" s="160"/>
      <c r="D257" s="160"/>
      <c r="E257" s="160">
        <f>SUM(B257:D257)</f>
        <v>0</v>
      </c>
    </row>
    <row r="258" spans="1:5" s="1" customFormat="1" x14ac:dyDescent="0.25">
      <c r="A258" s="4" t="s">
        <v>226</v>
      </c>
      <c r="B258" s="161">
        <v>352700</v>
      </c>
      <c r="C258" s="161"/>
      <c r="D258" s="161"/>
      <c r="E258" s="161">
        <f>SUM(B258:D258)</f>
        <v>352700</v>
      </c>
    </row>
    <row r="259" spans="1:5" s="1" customFormat="1" x14ac:dyDescent="0.25">
      <c r="A259" s="4" t="s">
        <v>360</v>
      </c>
      <c r="B259" s="161"/>
      <c r="C259" s="161"/>
      <c r="D259" s="161"/>
      <c r="E259" s="161">
        <f>SUM(B259:D259)</f>
        <v>0</v>
      </c>
    </row>
    <row r="260" spans="1:5" s="1" customFormat="1" x14ac:dyDescent="0.25">
      <c r="A260" s="4" t="s">
        <v>227</v>
      </c>
      <c r="B260" s="161"/>
      <c r="C260" s="161"/>
      <c r="D260" s="161"/>
      <c r="E260" s="161">
        <f>SUM(B260:D260)</f>
        <v>0</v>
      </c>
    </row>
    <row r="261" spans="1:5" s="1" customFormat="1" ht="16.5" thickBot="1" x14ac:dyDescent="0.3">
      <c r="A261" s="12" t="s">
        <v>313</v>
      </c>
      <c r="B261" s="162"/>
      <c r="C261" s="162"/>
      <c r="D261" s="162"/>
      <c r="E261" s="162"/>
    </row>
    <row r="262" spans="1:5" s="1" customFormat="1" ht="16.5" thickBot="1" x14ac:dyDescent="0.3">
      <c r="A262" s="42" t="s">
        <v>228</v>
      </c>
      <c r="B262" s="309">
        <f>SUM(B257:B261)</f>
        <v>352700</v>
      </c>
      <c r="C262" s="309">
        <f t="shared" ref="C262" si="23">SUM(C257:C261)</f>
        <v>0</v>
      </c>
      <c r="D262" s="309">
        <f>SUM(D257:D261)</f>
        <v>0</v>
      </c>
      <c r="E262" s="309">
        <f>SUM(E257:E261)</f>
        <v>352700</v>
      </c>
    </row>
    <row r="263" spans="1:5" s="1" customFormat="1" x14ac:dyDescent="0.25">
      <c r="A263" s="312"/>
      <c r="B263" s="313"/>
      <c r="C263" s="313"/>
      <c r="D263" s="313"/>
      <c r="E263" s="313"/>
    </row>
    <row r="264" spans="1:5" s="1" customFormat="1" x14ac:dyDescent="0.25">
      <c r="A264" s="312"/>
      <c r="B264" s="313"/>
      <c r="C264" s="313"/>
      <c r="D264" s="313"/>
      <c r="E264" s="313"/>
    </row>
    <row r="265" spans="1:5" s="1" customFormat="1" ht="16.5" thickBot="1" x14ac:dyDescent="0.3">
      <c r="A265" s="387" t="s">
        <v>581</v>
      </c>
      <c r="B265" s="387"/>
      <c r="C265" s="387"/>
      <c r="D265" s="387"/>
      <c r="E265" s="387"/>
    </row>
    <row r="266" spans="1:5" s="1" customFormat="1" ht="16.5" thickBot="1" x14ac:dyDescent="0.3">
      <c r="A266" s="61" t="s">
        <v>217</v>
      </c>
      <c r="B266" s="6" t="s">
        <v>476</v>
      </c>
      <c r="C266" s="6" t="s">
        <v>504</v>
      </c>
      <c r="D266" s="6" t="s">
        <v>505</v>
      </c>
      <c r="E266" s="7" t="s">
        <v>213</v>
      </c>
    </row>
    <row r="267" spans="1:5" s="1" customFormat="1" x14ac:dyDescent="0.25">
      <c r="A267" s="9" t="s">
        <v>218</v>
      </c>
      <c r="B267" s="160">
        <v>321200</v>
      </c>
      <c r="C267" s="160"/>
      <c r="D267" s="160"/>
      <c r="E267" s="160">
        <f>SUM(B267:D267)</f>
        <v>321200</v>
      </c>
    </row>
    <row r="268" spans="1:5" s="1" customFormat="1" x14ac:dyDescent="0.25">
      <c r="A268" s="4" t="s">
        <v>219</v>
      </c>
      <c r="B268" s="161"/>
      <c r="C268" s="161"/>
      <c r="D268" s="161"/>
      <c r="E268" s="160">
        <f t="shared" ref="E268:E274" si="24">SUM(B268:D268)</f>
        <v>0</v>
      </c>
    </row>
    <row r="269" spans="1:5" s="1" customFormat="1" x14ac:dyDescent="0.25">
      <c r="A269" s="4" t="s">
        <v>220</v>
      </c>
      <c r="B269" s="161">
        <v>481800</v>
      </c>
      <c r="C269" s="161"/>
      <c r="D269" s="161"/>
      <c r="E269" s="160">
        <f t="shared" si="24"/>
        <v>481800</v>
      </c>
    </row>
    <row r="270" spans="1:5" s="1" customFormat="1" x14ac:dyDescent="0.25">
      <c r="A270" s="4" t="s">
        <v>221</v>
      </c>
      <c r="B270" s="161"/>
      <c r="C270" s="161"/>
      <c r="D270" s="161"/>
      <c r="E270" s="160">
        <f t="shared" si="24"/>
        <v>0</v>
      </c>
    </row>
    <row r="271" spans="1:5" s="1" customFormat="1" x14ac:dyDescent="0.25">
      <c r="A271" s="4" t="s">
        <v>222</v>
      </c>
      <c r="B271" s="161"/>
      <c r="C271" s="161"/>
      <c r="D271" s="161"/>
      <c r="E271" s="160">
        <f t="shared" si="24"/>
        <v>0</v>
      </c>
    </row>
    <row r="272" spans="1:5" s="1" customFormat="1" x14ac:dyDescent="0.25">
      <c r="A272" s="4" t="s">
        <v>368</v>
      </c>
      <c r="B272" s="161"/>
      <c r="C272" s="161"/>
      <c r="D272" s="161"/>
      <c r="E272" s="160">
        <f t="shared" si="24"/>
        <v>0</v>
      </c>
    </row>
    <row r="273" spans="1:5" s="1" customFormat="1" ht="16.5" thickBot="1" x14ac:dyDescent="0.3">
      <c r="A273" s="12"/>
      <c r="B273" s="162"/>
      <c r="C273" s="162"/>
      <c r="D273" s="162"/>
      <c r="E273" s="311">
        <f t="shared" si="24"/>
        <v>0</v>
      </c>
    </row>
    <row r="274" spans="1:5" s="1" customFormat="1" ht="16.5" thickBot="1" x14ac:dyDescent="0.3">
      <c r="A274" s="42" t="s">
        <v>223</v>
      </c>
      <c r="B274" s="309">
        <f>SUM(B267:B273)</f>
        <v>803000</v>
      </c>
      <c r="C274" s="309">
        <f>SUM(C267:C273)</f>
        <v>0</v>
      </c>
      <c r="D274" s="310"/>
      <c r="E274" s="314">
        <f t="shared" si="24"/>
        <v>803000</v>
      </c>
    </row>
    <row r="275" spans="1:5" s="1" customFormat="1" ht="16.5" thickBot="1" x14ac:dyDescent="0.3">
      <c r="A275" s="2"/>
      <c r="B275" s="2"/>
      <c r="C275" s="2"/>
      <c r="D275" s="2"/>
      <c r="E275" s="2"/>
    </row>
    <row r="276" spans="1:5" s="1" customFormat="1" ht="16.5" thickBot="1" x14ac:dyDescent="0.3">
      <c r="A276" s="61" t="s">
        <v>224</v>
      </c>
      <c r="B276" s="6" t="s">
        <v>476</v>
      </c>
      <c r="C276" s="6" t="s">
        <v>504</v>
      </c>
      <c r="D276" s="6" t="s">
        <v>505</v>
      </c>
      <c r="E276" s="7" t="s">
        <v>213</v>
      </c>
    </row>
    <row r="277" spans="1:5" s="1" customFormat="1" x14ac:dyDescent="0.25">
      <c r="A277" s="9" t="s">
        <v>225</v>
      </c>
      <c r="B277" s="160"/>
      <c r="C277" s="160"/>
      <c r="D277" s="160"/>
      <c r="E277" s="160">
        <f>SUM(B277:D277)</f>
        <v>0</v>
      </c>
    </row>
    <row r="278" spans="1:5" s="1" customFormat="1" x14ac:dyDescent="0.25">
      <c r="A278" s="4" t="s">
        <v>226</v>
      </c>
      <c r="B278" s="161">
        <v>803000</v>
      </c>
      <c r="C278" s="161"/>
      <c r="D278" s="161"/>
      <c r="E278" s="161">
        <f>SUM(B278:D278)</f>
        <v>803000</v>
      </c>
    </row>
    <row r="279" spans="1:5" s="1" customFormat="1" x14ac:dyDescent="0.25">
      <c r="A279" s="4" t="s">
        <v>360</v>
      </c>
      <c r="B279" s="161"/>
      <c r="C279" s="161"/>
      <c r="D279" s="161"/>
      <c r="E279" s="161">
        <f>SUM(B279:D279)</f>
        <v>0</v>
      </c>
    </row>
    <row r="280" spans="1:5" s="1" customFormat="1" x14ac:dyDescent="0.25">
      <c r="A280" s="4" t="s">
        <v>227</v>
      </c>
      <c r="B280" s="161"/>
      <c r="C280" s="161"/>
      <c r="D280" s="161"/>
      <c r="E280" s="161">
        <f>SUM(B280:D280)</f>
        <v>0</v>
      </c>
    </row>
    <row r="281" spans="1:5" s="1" customFormat="1" ht="16.5" thickBot="1" x14ac:dyDescent="0.3">
      <c r="A281" s="12" t="s">
        <v>313</v>
      </c>
      <c r="B281" s="162"/>
      <c r="C281" s="162"/>
      <c r="D281" s="162"/>
      <c r="E281" s="162"/>
    </row>
    <row r="282" spans="1:5" s="1" customFormat="1" ht="16.5" thickBot="1" x14ac:dyDescent="0.3">
      <c r="A282" s="42" t="s">
        <v>228</v>
      </c>
      <c r="B282" s="309">
        <f>SUM(B277:B281)</f>
        <v>803000</v>
      </c>
      <c r="C282" s="309">
        <f t="shared" ref="C282" si="25">SUM(C277:C281)</f>
        <v>0</v>
      </c>
      <c r="D282" s="309">
        <f>SUM(D277:D281)</f>
        <v>0</v>
      </c>
      <c r="E282" s="309">
        <f>SUM(E277:E281)</f>
        <v>803000</v>
      </c>
    </row>
    <row r="283" spans="1:5" s="1" customFormat="1" x14ac:dyDescent="0.25">
      <c r="A283" s="312"/>
      <c r="B283" s="313"/>
      <c r="C283" s="313"/>
      <c r="D283" s="313"/>
      <c r="E283" s="313"/>
    </row>
    <row r="284" spans="1:5" s="1" customFormat="1" x14ac:dyDescent="0.25">
      <c r="A284" s="312"/>
      <c r="B284" s="313"/>
      <c r="C284" s="313"/>
      <c r="D284" s="313"/>
      <c r="E284" s="313"/>
    </row>
    <row r="285" spans="1:5" s="1" customFormat="1" ht="30.75" customHeight="1" thickBot="1" x14ac:dyDescent="0.3">
      <c r="A285" s="387" t="s">
        <v>582</v>
      </c>
      <c r="B285" s="387"/>
      <c r="C285" s="387"/>
      <c r="D285" s="387"/>
      <c r="E285" s="387"/>
    </row>
    <row r="286" spans="1:5" s="1" customFormat="1" ht="16.5" thickBot="1" x14ac:dyDescent="0.3">
      <c r="A286" s="61" t="s">
        <v>217</v>
      </c>
      <c r="B286" s="6" t="s">
        <v>476</v>
      </c>
      <c r="C286" s="6" t="s">
        <v>504</v>
      </c>
      <c r="D286" s="6" t="s">
        <v>505</v>
      </c>
      <c r="E286" s="7" t="s">
        <v>213</v>
      </c>
    </row>
    <row r="287" spans="1:5" s="1" customFormat="1" x14ac:dyDescent="0.25">
      <c r="A287" s="9" t="s">
        <v>218</v>
      </c>
      <c r="B287" s="160">
        <v>205988</v>
      </c>
      <c r="C287" s="160"/>
      <c r="D287" s="160"/>
      <c r="E287" s="160">
        <f>SUM(B287:D287)</f>
        <v>205988</v>
      </c>
    </row>
    <row r="288" spans="1:5" s="1" customFormat="1" x14ac:dyDescent="0.25">
      <c r="A288" s="4" t="s">
        <v>219</v>
      </c>
      <c r="B288" s="161"/>
      <c r="C288" s="161"/>
      <c r="D288" s="161"/>
      <c r="E288" s="160">
        <f t="shared" ref="E288:E294" si="26">SUM(B288:D288)</f>
        <v>0</v>
      </c>
    </row>
    <row r="289" spans="1:5" s="1" customFormat="1" x14ac:dyDescent="0.25">
      <c r="A289" s="4" t="s">
        <v>220</v>
      </c>
      <c r="B289" s="161">
        <v>2000000</v>
      </c>
      <c r="C289" s="161"/>
      <c r="D289" s="161"/>
      <c r="E289" s="160">
        <f t="shared" si="26"/>
        <v>2000000</v>
      </c>
    </row>
    <row r="290" spans="1:5" s="1" customFormat="1" x14ac:dyDescent="0.25">
      <c r="A290" s="4" t="s">
        <v>221</v>
      </c>
      <c r="B290" s="161"/>
      <c r="C290" s="161"/>
      <c r="D290" s="161"/>
      <c r="E290" s="160">
        <f t="shared" si="26"/>
        <v>0</v>
      </c>
    </row>
    <row r="291" spans="1:5" s="1" customFormat="1" x14ac:dyDescent="0.25">
      <c r="A291" s="4" t="s">
        <v>222</v>
      </c>
      <c r="B291" s="161"/>
      <c r="C291" s="161"/>
      <c r="D291" s="161"/>
      <c r="E291" s="160">
        <f t="shared" si="26"/>
        <v>0</v>
      </c>
    </row>
    <row r="292" spans="1:5" s="1" customFormat="1" x14ac:dyDescent="0.25">
      <c r="A292" s="4" t="s">
        <v>368</v>
      </c>
      <c r="B292" s="161"/>
      <c r="C292" s="161"/>
      <c r="D292" s="161"/>
      <c r="E292" s="160">
        <f t="shared" si="26"/>
        <v>0</v>
      </c>
    </row>
    <row r="293" spans="1:5" s="1" customFormat="1" ht="16.5" thickBot="1" x14ac:dyDescent="0.3">
      <c r="A293" s="12"/>
      <c r="B293" s="162"/>
      <c r="C293" s="162"/>
      <c r="D293" s="162"/>
      <c r="E293" s="311">
        <f t="shared" si="26"/>
        <v>0</v>
      </c>
    </row>
    <row r="294" spans="1:5" s="1" customFormat="1" ht="16.5" thickBot="1" x14ac:dyDescent="0.3">
      <c r="A294" s="42" t="s">
        <v>223</v>
      </c>
      <c r="B294" s="309">
        <f>SUM(B287:B293)</f>
        <v>2205988</v>
      </c>
      <c r="C294" s="309">
        <f>SUM(C287:C293)</f>
        <v>0</v>
      </c>
      <c r="D294" s="310"/>
      <c r="E294" s="314">
        <f t="shared" si="26"/>
        <v>2205988</v>
      </c>
    </row>
    <row r="295" spans="1:5" s="1" customFormat="1" ht="16.5" thickBot="1" x14ac:dyDescent="0.3">
      <c r="A295" s="2"/>
      <c r="B295" s="2"/>
      <c r="C295" s="2"/>
      <c r="D295" s="2"/>
      <c r="E295" s="2"/>
    </row>
    <row r="296" spans="1:5" s="1" customFormat="1" ht="16.5" thickBot="1" x14ac:dyDescent="0.3">
      <c r="A296" s="61" t="s">
        <v>224</v>
      </c>
      <c r="B296" s="6" t="s">
        <v>476</v>
      </c>
      <c r="C296" s="6" t="s">
        <v>504</v>
      </c>
      <c r="D296" s="6" t="s">
        <v>505</v>
      </c>
      <c r="E296" s="7" t="s">
        <v>213</v>
      </c>
    </row>
    <row r="297" spans="1:5" s="1" customFormat="1" x14ac:dyDescent="0.25">
      <c r="A297" s="9" t="s">
        <v>225</v>
      </c>
      <c r="B297" s="160"/>
      <c r="C297" s="160"/>
      <c r="D297" s="160"/>
      <c r="E297" s="160">
        <f>SUM(B297:D297)</f>
        <v>0</v>
      </c>
    </row>
    <row r="298" spans="1:5" s="1" customFormat="1" x14ac:dyDescent="0.25">
      <c r="A298" s="4" t="s">
        <v>226</v>
      </c>
      <c r="B298" s="161">
        <v>2205988</v>
      </c>
      <c r="C298" s="161"/>
      <c r="D298" s="161"/>
      <c r="E298" s="161">
        <f>SUM(B298:D298)</f>
        <v>2205988</v>
      </c>
    </row>
    <row r="299" spans="1:5" s="1" customFormat="1" x14ac:dyDescent="0.25">
      <c r="A299" s="4" t="s">
        <v>360</v>
      </c>
      <c r="B299" s="161"/>
      <c r="C299" s="161"/>
      <c r="D299" s="161"/>
      <c r="E299" s="161">
        <f>SUM(B299:D299)</f>
        <v>0</v>
      </c>
    </row>
    <row r="300" spans="1:5" s="1" customFormat="1" x14ac:dyDescent="0.25">
      <c r="A300" s="4" t="s">
        <v>227</v>
      </c>
      <c r="B300" s="161"/>
      <c r="C300" s="161"/>
      <c r="D300" s="161"/>
      <c r="E300" s="161">
        <f>SUM(B300:D300)</f>
        <v>0</v>
      </c>
    </row>
    <row r="301" spans="1:5" s="1" customFormat="1" ht="16.5" thickBot="1" x14ac:dyDescent="0.3">
      <c r="A301" s="12" t="s">
        <v>313</v>
      </c>
      <c r="B301" s="162"/>
      <c r="C301" s="162"/>
      <c r="D301" s="162"/>
      <c r="E301" s="162"/>
    </row>
    <row r="302" spans="1:5" s="1" customFormat="1" ht="16.5" thickBot="1" x14ac:dyDescent="0.3">
      <c r="A302" s="42" t="s">
        <v>228</v>
      </c>
      <c r="B302" s="309">
        <f>SUM(B297:B301)</f>
        <v>2205988</v>
      </c>
      <c r="C302" s="309">
        <f t="shared" ref="C302" si="27">SUM(C297:C301)</f>
        <v>0</v>
      </c>
      <c r="D302" s="309">
        <f>SUM(D297:D301)</f>
        <v>0</v>
      </c>
      <c r="E302" s="309">
        <f>SUM(E297:E301)</f>
        <v>2205988</v>
      </c>
    </row>
    <row r="303" spans="1:5" s="1" customFormat="1" x14ac:dyDescent="0.25">
      <c r="A303" s="312"/>
      <c r="B303" s="313"/>
      <c r="C303" s="313"/>
      <c r="D303" s="313"/>
      <c r="E303" s="313"/>
    </row>
    <row r="304" spans="1:5" s="1" customFormat="1" x14ac:dyDescent="0.25">
      <c r="A304" s="312"/>
      <c r="B304" s="313"/>
      <c r="C304" s="313"/>
      <c r="D304" s="313"/>
      <c r="E304" s="313"/>
    </row>
    <row r="305" spans="1:5" s="1" customFormat="1" ht="30.75" customHeight="1" thickBot="1" x14ac:dyDescent="0.3">
      <c r="A305" s="387" t="s">
        <v>583</v>
      </c>
      <c r="B305" s="387"/>
      <c r="C305" s="387"/>
      <c r="D305" s="387"/>
      <c r="E305" s="387"/>
    </row>
    <row r="306" spans="1:5" s="1" customFormat="1" ht="16.5" thickBot="1" x14ac:dyDescent="0.3">
      <c r="A306" s="61" t="s">
        <v>217</v>
      </c>
      <c r="B306" s="6" t="s">
        <v>476</v>
      </c>
      <c r="C306" s="6" t="s">
        <v>504</v>
      </c>
      <c r="D306" s="6" t="s">
        <v>505</v>
      </c>
      <c r="E306" s="7" t="s">
        <v>213</v>
      </c>
    </row>
    <row r="307" spans="1:5" s="1" customFormat="1" x14ac:dyDescent="0.25">
      <c r="A307" s="9" t="s">
        <v>218</v>
      </c>
      <c r="B307" s="160">
        <v>944959</v>
      </c>
      <c r="C307" s="160"/>
      <c r="D307" s="160"/>
      <c r="E307" s="160">
        <f>SUM(B307:D307)</f>
        <v>944959</v>
      </c>
    </row>
    <row r="308" spans="1:5" s="1" customFormat="1" x14ac:dyDescent="0.25">
      <c r="A308" s="4" t="s">
        <v>219</v>
      </c>
      <c r="B308" s="161"/>
      <c r="C308" s="161"/>
      <c r="D308" s="161"/>
      <c r="E308" s="160">
        <f t="shared" ref="E308:E314" si="28">SUM(B308:D308)</f>
        <v>0</v>
      </c>
    </row>
    <row r="309" spans="1:5" s="1" customFormat="1" x14ac:dyDescent="0.25">
      <c r="A309" s="4" t="s">
        <v>220</v>
      </c>
      <c r="B309" s="161">
        <v>1417441</v>
      </c>
      <c r="C309" s="161"/>
      <c r="D309" s="161"/>
      <c r="E309" s="160">
        <f t="shared" si="28"/>
        <v>1417441</v>
      </c>
    </row>
    <row r="310" spans="1:5" s="1" customFormat="1" x14ac:dyDescent="0.25">
      <c r="A310" s="4" t="s">
        <v>221</v>
      </c>
      <c r="B310" s="161"/>
      <c r="C310" s="161"/>
      <c r="D310" s="161"/>
      <c r="E310" s="160">
        <f t="shared" si="28"/>
        <v>0</v>
      </c>
    </row>
    <row r="311" spans="1:5" s="1" customFormat="1" x14ac:dyDescent="0.25">
      <c r="A311" s="4" t="s">
        <v>222</v>
      </c>
      <c r="B311" s="161"/>
      <c r="C311" s="161"/>
      <c r="D311" s="161"/>
      <c r="E311" s="160">
        <f t="shared" si="28"/>
        <v>0</v>
      </c>
    </row>
    <row r="312" spans="1:5" s="1" customFormat="1" x14ac:dyDescent="0.25">
      <c r="A312" s="4" t="s">
        <v>368</v>
      </c>
      <c r="B312" s="161"/>
      <c r="C312" s="161"/>
      <c r="D312" s="161"/>
      <c r="E312" s="160">
        <f t="shared" si="28"/>
        <v>0</v>
      </c>
    </row>
    <row r="313" spans="1:5" s="1" customFormat="1" ht="16.5" thickBot="1" x14ac:dyDescent="0.3">
      <c r="A313" s="12"/>
      <c r="B313" s="162"/>
      <c r="C313" s="162"/>
      <c r="D313" s="162"/>
      <c r="E313" s="311">
        <f t="shared" si="28"/>
        <v>0</v>
      </c>
    </row>
    <row r="314" spans="1:5" s="1" customFormat="1" ht="16.5" thickBot="1" x14ac:dyDescent="0.3">
      <c r="A314" s="42" t="s">
        <v>223</v>
      </c>
      <c r="B314" s="309">
        <f>SUM(B307:B313)</f>
        <v>2362400</v>
      </c>
      <c r="C314" s="309">
        <f>SUM(C307:C313)</f>
        <v>0</v>
      </c>
      <c r="D314" s="310"/>
      <c r="E314" s="314">
        <f t="shared" si="28"/>
        <v>2362400</v>
      </c>
    </row>
    <row r="315" spans="1:5" s="1" customFormat="1" ht="16.5" thickBot="1" x14ac:dyDescent="0.3">
      <c r="A315" s="2"/>
      <c r="B315" s="2"/>
      <c r="C315" s="2"/>
      <c r="D315" s="2"/>
      <c r="E315" s="2"/>
    </row>
    <row r="316" spans="1:5" s="1" customFormat="1" ht="16.5" thickBot="1" x14ac:dyDescent="0.3">
      <c r="A316" s="61" t="s">
        <v>224</v>
      </c>
      <c r="B316" s="6" t="s">
        <v>476</v>
      </c>
      <c r="C316" s="6" t="s">
        <v>504</v>
      </c>
      <c r="D316" s="6" t="s">
        <v>505</v>
      </c>
      <c r="E316" s="7" t="s">
        <v>213</v>
      </c>
    </row>
    <row r="317" spans="1:5" s="1" customFormat="1" x14ac:dyDescent="0.25">
      <c r="A317" s="9" t="s">
        <v>225</v>
      </c>
      <c r="B317" s="160"/>
      <c r="C317" s="160"/>
      <c r="D317" s="160"/>
      <c r="E317" s="160">
        <f>SUM(B317:D317)</f>
        <v>0</v>
      </c>
    </row>
    <row r="318" spans="1:5" s="1" customFormat="1" x14ac:dyDescent="0.25">
      <c r="A318" s="4" t="s">
        <v>226</v>
      </c>
      <c r="B318" s="161">
        <v>2362400</v>
      </c>
      <c r="C318" s="161"/>
      <c r="D318" s="161"/>
      <c r="E318" s="161">
        <f>SUM(B318:D318)</f>
        <v>2362400</v>
      </c>
    </row>
    <row r="319" spans="1:5" s="1" customFormat="1" x14ac:dyDescent="0.25">
      <c r="A319" s="4" t="s">
        <v>360</v>
      </c>
      <c r="B319" s="161"/>
      <c r="C319" s="161"/>
      <c r="D319" s="161"/>
      <c r="E319" s="161">
        <f>SUM(B319:D319)</f>
        <v>0</v>
      </c>
    </row>
    <row r="320" spans="1:5" s="1" customFormat="1" x14ac:dyDescent="0.25">
      <c r="A320" s="4" t="s">
        <v>227</v>
      </c>
      <c r="B320" s="161"/>
      <c r="C320" s="161"/>
      <c r="D320" s="161"/>
      <c r="E320" s="161">
        <f>SUM(B320:D320)</f>
        <v>0</v>
      </c>
    </row>
    <row r="321" spans="1:5" s="1" customFormat="1" ht="16.5" thickBot="1" x14ac:dyDescent="0.3">
      <c r="A321" s="12" t="s">
        <v>313</v>
      </c>
      <c r="B321" s="162"/>
      <c r="C321" s="162"/>
      <c r="D321" s="162"/>
      <c r="E321" s="162"/>
    </row>
    <row r="322" spans="1:5" s="1" customFormat="1" ht="16.5" thickBot="1" x14ac:dyDescent="0.3">
      <c r="A322" s="42" t="s">
        <v>228</v>
      </c>
      <c r="B322" s="309">
        <f>SUM(B317:B321)</f>
        <v>2362400</v>
      </c>
      <c r="C322" s="309">
        <f t="shared" ref="C322" si="29">SUM(C317:C321)</f>
        <v>0</v>
      </c>
      <c r="D322" s="309">
        <f>SUM(D317:D321)</f>
        <v>0</v>
      </c>
      <c r="E322" s="309">
        <f>SUM(E317:E321)</f>
        <v>2362400</v>
      </c>
    </row>
    <row r="323" spans="1:5" s="1" customFormat="1" x14ac:dyDescent="0.25">
      <c r="A323" s="312"/>
      <c r="B323" s="313"/>
      <c r="C323" s="313"/>
      <c r="D323" s="313"/>
      <c r="E323" s="313"/>
    </row>
    <row r="324" spans="1:5" s="1" customFormat="1" x14ac:dyDescent="0.25">
      <c r="A324" s="312"/>
      <c r="B324" s="313"/>
      <c r="C324" s="313"/>
      <c r="D324" s="313"/>
      <c r="E324" s="313"/>
    </row>
    <row r="325" spans="1:5" s="1" customFormat="1" ht="30.75" customHeight="1" thickBot="1" x14ac:dyDescent="0.3">
      <c r="A325" s="387" t="s">
        <v>584</v>
      </c>
      <c r="B325" s="387"/>
      <c r="C325" s="387"/>
      <c r="D325" s="387"/>
      <c r="E325" s="387"/>
    </row>
    <row r="326" spans="1:5" s="1" customFormat="1" ht="16.5" thickBot="1" x14ac:dyDescent="0.3">
      <c r="A326" s="61" t="s">
        <v>217</v>
      </c>
      <c r="B326" s="6" t="s">
        <v>476</v>
      </c>
      <c r="C326" s="6" t="s">
        <v>504</v>
      </c>
      <c r="D326" s="6" t="s">
        <v>505</v>
      </c>
      <c r="E326" s="7" t="s">
        <v>213</v>
      </c>
    </row>
    <row r="327" spans="1:5" s="1" customFormat="1" x14ac:dyDescent="0.25">
      <c r="A327" s="9" t="s">
        <v>218</v>
      </c>
      <c r="B327" s="160">
        <v>195453</v>
      </c>
      <c r="C327" s="160"/>
      <c r="D327" s="160"/>
      <c r="E327" s="160">
        <f>SUM(B327:D327)</f>
        <v>195453</v>
      </c>
    </row>
    <row r="328" spans="1:5" s="1" customFormat="1" x14ac:dyDescent="0.25">
      <c r="A328" s="4" t="s">
        <v>219</v>
      </c>
      <c r="B328" s="161"/>
      <c r="C328" s="161"/>
      <c r="D328" s="161"/>
      <c r="E328" s="160">
        <f t="shared" ref="E328:E334" si="30">SUM(B328:D328)</f>
        <v>0</v>
      </c>
    </row>
    <row r="329" spans="1:5" s="1" customFormat="1" x14ac:dyDescent="0.25">
      <c r="A329" s="4" t="s">
        <v>220</v>
      </c>
      <c r="B329" s="161">
        <v>1759077</v>
      </c>
      <c r="C329" s="161"/>
      <c r="D329" s="161"/>
      <c r="E329" s="160">
        <f t="shared" si="30"/>
        <v>1759077</v>
      </c>
    </row>
    <row r="330" spans="1:5" s="1" customFormat="1" x14ac:dyDescent="0.25">
      <c r="A330" s="4" t="s">
        <v>221</v>
      </c>
      <c r="B330" s="161"/>
      <c r="C330" s="161"/>
      <c r="D330" s="161"/>
      <c r="E330" s="160">
        <f t="shared" si="30"/>
        <v>0</v>
      </c>
    </row>
    <row r="331" spans="1:5" s="1" customFormat="1" x14ac:dyDescent="0.25">
      <c r="A331" s="4" t="s">
        <v>222</v>
      </c>
      <c r="B331" s="161"/>
      <c r="C331" s="161"/>
      <c r="D331" s="161"/>
      <c r="E331" s="160">
        <f t="shared" si="30"/>
        <v>0</v>
      </c>
    </row>
    <row r="332" spans="1:5" s="1" customFormat="1" x14ac:dyDescent="0.25">
      <c r="A332" s="4" t="s">
        <v>368</v>
      </c>
      <c r="B332" s="161"/>
      <c r="C332" s="161"/>
      <c r="D332" s="161"/>
      <c r="E332" s="160">
        <f t="shared" si="30"/>
        <v>0</v>
      </c>
    </row>
    <row r="333" spans="1:5" s="1" customFormat="1" ht="16.5" thickBot="1" x14ac:dyDescent="0.3">
      <c r="A333" s="12"/>
      <c r="B333" s="162"/>
      <c r="C333" s="162"/>
      <c r="D333" s="162"/>
      <c r="E333" s="311">
        <f t="shared" si="30"/>
        <v>0</v>
      </c>
    </row>
    <row r="334" spans="1:5" s="1" customFormat="1" ht="16.5" thickBot="1" x14ac:dyDescent="0.3">
      <c r="A334" s="42" t="s">
        <v>223</v>
      </c>
      <c r="B334" s="309">
        <f>SUM(B327:B333)</f>
        <v>1954530</v>
      </c>
      <c r="C334" s="309">
        <f>SUM(C327:C333)</f>
        <v>0</v>
      </c>
      <c r="D334" s="310"/>
      <c r="E334" s="314">
        <f t="shared" si="30"/>
        <v>1954530</v>
      </c>
    </row>
    <row r="335" spans="1:5" s="1" customFormat="1" ht="16.5" thickBot="1" x14ac:dyDescent="0.3">
      <c r="A335" s="2"/>
      <c r="B335" s="2"/>
      <c r="C335" s="2"/>
      <c r="D335" s="2"/>
      <c r="E335" s="2"/>
    </row>
    <row r="336" spans="1:5" s="1" customFormat="1" ht="16.5" thickBot="1" x14ac:dyDescent="0.3">
      <c r="A336" s="61" t="s">
        <v>224</v>
      </c>
      <c r="B336" s="6" t="s">
        <v>476</v>
      </c>
      <c r="C336" s="6" t="s">
        <v>504</v>
      </c>
      <c r="D336" s="6" t="s">
        <v>505</v>
      </c>
      <c r="E336" s="7" t="s">
        <v>213</v>
      </c>
    </row>
    <row r="337" spans="1:5" s="1" customFormat="1" x14ac:dyDescent="0.25">
      <c r="A337" s="9" t="s">
        <v>225</v>
      </c>
      <c r="B337" s="160"/>
      <c r="C337" s="160"/>
      <c r="D337" s="160"/>
      <c r="E337" s="160">
        <f>SUM(B337:D337)</f>
        <v>0</v>
      </c>
    </row>
    <row r="338" spans="1:5" s="1" customFormat="1" x14ac:dyDescent="0.25">
      <c r="A338" s="4" t="s">
        <v>226</v>
      </c>
      <c r="B338" s="161">
        <v>1954530</v>
      </c>
      <c r="C338" s="161"/>
      <c r="D338" s="161"/>
      <c r="E338" s="161">
        <f>SUM(B338:D338)</f>
        <v>1954530</v>
      </c>
    </row>
    <row r="339" spans="1:5" s="1" customFormat="1" x14ac:dyDescent="0.25">
      <c r="A339" s="4" t="s">
        <v>360</v>
      </c>
      <c r="B339" s="161"/>
      <c r="C339" s="161"/>
      <c r="D339" s="161"/>
      <c r="E339" s="161">
        <f>SUM(B339:D339)</f>
        <v>0</v>
      </c>
    </row>
    <row r="340" spans="1:5" s="1" customFormat="1" x14ac:dyDescent="0.25">
      <c r="A340" s="4" t="s">
        <v>227</v>
      </c>
      <c r="B340" s="161"/>
      <c r="C340" s="161"/>
      <c r="D340" s="161"/>
      <c r="E340" s="161">
        <f>SUM(B340:D340)</f>
        <v>0</v>
      </c>
    </row>
    <row r="341" spans="1:5" s="1" customFormat="1" ht="16.5" thickBot="1" x14ac:dyDescent="0.3">
      <c r="A341" s="12" t="s">
        <v>313</v>
      </c>
      <c r="B341" s="162"/>
      <c r="C341" s="162"/>
      <c r="D341" s="162"/>
      <c r="E341" s="162"/>
    </row>
    <row r="342" spans="1:5" s="1" customFormat="1" ht="16.5" thickBot="1" x14ac:dyDescent="0.3">
      <c r="A342" s="42" t="s">
        <v>228</v>
      </c>
      <c r="B342" s="309">
        <f>SUM(B337:B341)</f>
        <v>1954530</v>
      </c>
      <c r="C342" s="309">
        <f t="shared" ref="C342" si="31">SUM(C337:C341)</f>
        <v>0</v>
      </c>
      <c r="D342" s="309">
        <f>SUM(D337:D341)</f>
        <v>0</v>
      </c>
      <c r="E342" s="309">
        <f>SUM(E337:E341)</f>
        <v>1954530</v>
      </c>
    </row>
    <row r="343" spans="1:5" s="1" customFormat="1" x14ac:dyDescent="0.25">
      <c r="A343" s="312"/>
      <c r="B343" s="313"/>
      <c r="C343" s="313"/>
      <c r="D343" s="313"/>
      <c r="E343" s="313"/>
    </row>
    <row r="344" spans="1:5" s="1" customFormat="1" x14ac:dyDescent="0.25">
      <c r="A344" s="312"/>
      <c r="B344" s="313"/>
      <c r="C344" s="313"/>
      <c r="D344" s="313"/>
      <c r="E344" s="313"/>
    </row>
    <row r="345" spans="1:5" s="1" customFormat="1" ht="30.75" customHeight="1" thickBot="1" x14ac:dyDescent="0.3">
      <c r="A345" s="387" t="s">
        <v>585</v>
      </c>
      <c r="B345" s="387"/>
      <c r="C345" s="387"/>
      <c r="D345" s="387"/>
      <c r="E345" s="387"/>
    </row>
    <row r="346" spans="1:5" s="1" customFormat="1" ht="16.5" thickBot="1" x14ac:dyDescent="0.3">
      <c r="A346" s="61" t="s">
        <v>217</v>
      </c>
      <c r="B346" s="6" t="s">
        <v>476</v>
      </c>
      <c r="C346" s="6" t="s">
        <v>504</v>
      </c>
      <c r="D346" s="6" t="s">
        <v>505</v>
      </c>
      <c r="E346" s="7" t="s">
        <v>213</v>
      </c>
    </row>
    <row r="347" spans="1:5" s="1" customFormat="1" x14ac:dyDescent="0.25">
      <c r="A347" s="9" t="s">
        <v>218</v>
      </c>
      <c r="B347" s="160"/>
      <c r="C347" s="160"/>
      <c r="D347" s="160"/>
      <c r="E347" s="160">
        <f>SUM(B347:D347)</f>
        <v>0</v>
      </c>
    </row>
    <row r="348" spans="1:5" s="1" customFormat="1" x14ac:dyDescent="0.25">
      <c r="A348" s="4" t="s">
        <v>219</v>
      </c>
      <c r="B348" s="161"/>
      <c r="C348" s="161"/>
      <c r="D348" s="161"/>
      <c r="E348" s="160">
        <f t="shared" ref="E348:E354" si="32">SUM(B348:D348)</f>
        <v>0</v>
      </c>
    </row>
    <row r="349" spans="1:5" s="1" customFormat="1" x14ac:dyDescent="0.25">
      <c r="A349" s="4" t="s">
        <v>220</v>
      </c>
      <c r="B349" s="161">
        <v>1592000</v>
      </c>
      <c r="C349" s="161"/>
      <c r="D349" s="161"/>
      <c r="E349" s="160">
        <f t="shared" si="32"/>
        <v>1592000</v>
      </c>
    </row>
    <row r="350" spans="1:5" s="1" customFormat="1" x14ac:dyDescent="0.25">
      <c r="A350" s="4" t="s">
        <v>221</v>
      </c>
      <c r="B350" s="161"/>
      <c r="C350" s="161"/>
      <c r="D350" s="161"/>
      <c r="E350" s="160">
        <f t="shared" si="32"/>
        <v>0</v>
      </c>
    </row>
    <row r="351" spans="1:5" s="1" customFormat="1" x14ac:dyDescent="0.25">
      <c r="A351" s="4" t="s">
        <v>222</v>
      </c>
      <c r="B351" s="161"/>
      <c r="C351" s="161"/>
      <c r="D351" s="161"/>
      <c r="E351" s="160">
        <f t="shared" si="32"/>
        <v>0</v>
      </c>
    </row>
    <row r="352" spans="1:5" s="1" customFormat="1" x14ac:dyDescent="0.25">
      <c r="A352" s="4" t="s">
        <v>368</v>
      </c>
      <c r="B352" s="161"/>
      <c r="C352" s="161"/>
      <c r="D352" s="161"/>
      <c r="E352" s="160">
        <f t="shared" si="32"/>
        <v>0</v>
      </c>
    </row>
    <row r="353" spans="1:5" s="1" customFormat="1" ht="16.5" thickBot="1" x14ac:dyDescent="0.3">
      <c r="A353" s="12"/>
      <c r="B353" s="162"/>
      <c r="C353" s="162"/>
      <c r="D353" s="162"/>
      <c r="E353" s="311">
        <f t="shared" si="32"/>
        <v>0</v>
      </c>
    </row>
    <row r="354" spans="1:5" s="1" customFormat="1" ht="16.5" thickBot="1" x14ac:dyDescent="0.3">
      <c r="A354" s="42" t="s">
        <v>223</v>
      </c>
      <c r="B354" s="309">
        <f>SUM(B347:B353)</f>
        <v>1592000</v>
      </c>
      <c r="C354" s="309">
        <f>SUM(C347:C353)</f>
        <v>0</v>
      </c>
      <c r="D354" s="310"/>
      <c r="E354" s="314">
        <f t="shared" si="32"/>
        <v>1592000</v>
      </c>
    </row>
    <row r="355" spans="1:5" s="1" customFormat="1" ht="16.5" thickBot="1" x14ac:dyDescent="0.3">
      <c r="A355" s="2"/>
      <c r="B355" s="2"/>
      <c r="C355" s="2"/>
      <c r="D355" s="2"/>
      <c r="E355" s="2"/>
    </row>
    <row r="356" spans="1:5" s="1" customFormat="1" ht="16.5" thickBot="1" x14ac:dyDescent="0.3">
      <c r="A356" s="61" t="s">
        <v>224</v>
      </c>
      <c r="B356" s="6" t="s">
        <v>476</v>
      </c>
      <c r="C356" s="6" t="s">
        <v>504</v>
      </c>
      <c r="D356" s="6" t="s">
        <v>505</v>
      </c>
      <c r="E356" s="7" t="s">
        <v>213</v>
      </c>
    </row>
    <row r="357" spans="1:5" s="1" customFormat="1" x14ac:dyDescent="0.25">
      <c r="A357" s="9" t="s">
        <v>225</v>
      </c>
      <c r="B357" s="160"/>
      <c r="C357" s="160"/>
      <c r="D357" s="160"/>
      <c r="E357" s="160">
        <f>SUM(B357:D357)</f>
        <v>0</v>
      </c>
    </row>
    <row r="358" spans="1:5" s="1" customFormat="1" x14ac:dyDescent="0.25">
      <c r="A358" s="4" t="s">
        <v>226</v>
      </c>
      <c r="B358" s="161"/>
      <c r="C358" s="161"/>
      <c r="D358" s="161"/>
      <c r="E358" s="161">
        <f>SUM(B358:D358)</f>
        <v>0</v>
      </c>
    </row>
    <row r="359" spans="1:5" s="1" customFormat="1" x14ac:dyDescent="0.25">
      <c r="A359" s="4" t="s">
        <v>360</v>
      </c>
      <c r="B359" s="161">
        <v>1592000</v>
      </c>
      <c r="C359" s="161"/>
      <c r="D359" s="161"/>
      <c r="E359" s="161">
        <f>SUM(B359:D359)</f>
        <v>1592000</v>
      </c>
    </row>
    <row r="360" spans="1:5" s="1" customFormat="1" x14ac:dyDescent="0.25">
      <c r="A360" s="4" t="s">
        <v>227</v>
      </c>
      <c r="B360" s="161"/>
      <c r="C360" s="161"/>
      <c r="D360" s="161"/>
      <c r="E360" s="161">
        <f>SUM(B360:D360)</f>
        <v>0</v>
      </c>
    </row>
    <row r="361" spans="1:5" s="1" customFormat="1" ht="16.5" thickBot="1" x14ac:dyDescent="0.3">
      <c r="A361" s="12" t="s">
        <v>313</v>
      </c>
      <c r="B361" s="162"/>
      <c r="C361" s="162"/>
      <c r="D361" s="162"/>
      <c r="E361" s="162"/>
    </row>
    <row r="362" spans="1:5" s="1" customFormat="1" ht="16.5" thickBot="1" x14ac:dyDescent="0.3">
      <c r="A362" s="42" t="s">
        <v>228</v>
      </c>
      <c r="B362" s="309">
        <f>SUM(B357:B361)</f>
        <v>1592000</v>
      </c>
      <c r="C362" s="309">
        <f t="shared" ref="C362" si="33">SUM(C357:C361)</f>
        <v>0</v>
      </c>
      <c r="D362" s="309">
        <f>SUM(D357:D361)</f>
        <v>0</v>
      </c>
      <c r="E362" s="309">
        <f>SUM(E357:E361)</f>
        <v>1592000</v>
      </c>
    </row>
    <row r="365" spans="1:5" s="1" customFormat="1" ht="30.75" customHeight="1" thickBot="1" x14ac:dyDescent="0.3">
      <c r="A365" s="387" t="s">
        <v>586</v>
      </c>
      <c r="B365" s="387"/>
      <c r="C365" s="387"/>
      <c r="D365" s="387"/>
      <c r="E365" s="387"/>
    </row>
    <row r="366" spans="1:5" s="1" customFormat="1" ht="16.5" thickBot="1" x14ac:dyDescent="0.3">
      <c r="A366" s="61" t="s">
        <v>217</v>
      </c>
      <c r="B366" s="6" t="s">
        <v>476</v>
      </c>
      <c r="C366" s="6" t="s">
        <v>504</v>
      </c>
      <c r="D366" s="6" t="s">
        <v>505</v>
      </c>
      <c r="E366" s="7" t="s">
        <v>213</v>
      </c>
    </row>
    <row r="367" spans="1:5" s="1" customFormat="1" x14ac:dyDescent="0.25">
      <c r="A367" s="9" t="s">
        <v>218</v>
      </c>
      <c r="B367" s="160"/>
      <c r="C367" s="160"/>
      <c r="D367" s="160"/>
      <c r="E367" s="160">
        <f>SUM(B367:D367)</f>
        <v>0</v>
      </c>
    </row>
    <row r="368" spans="1:5" s="1" customFormat="1" x14ac:dyDescent="0.25">
      <c r="A368" s="4" t="s">
        <v>219</v>
      </c>
      <c r="B368" s="161"/>
      <c r="C368" s="161"/>
      <c r="D368" s="161"/>
      <c r="E368" s="160">
        <f t="shared" ref="E368:E374" si="34">SUM(B368:D368)</f>
        <v>0</v>
      </c>
    </row>
    <row r="369" spans="1:5" s="1" customFormat="1" x14ac:dyDescent="0.25">
      <c r="A369" s="4" t="s">
        <v>220</v>
      </c>
      <c r="B369" s="161">
        <v>10475560</v>
      </c>
      <c r="C369" s="161"/>
      <c r="D369" s="161"/>
      <c r="E369" s="160">
        <f t="shared" si="34"/>
        <v>10475560</v>
      </c>
    </row>
    <row r="370" spans="1:5" s="1" customFormat="1" x14ac:dyDescent="0.25">
      <c r="A370" s="4" t="s">
        <v>221</v>
      </c>
      <c r="B370" s="161"/>
      <c r="C370" s="161"/>
      <c r="D370" s="161"/>
      <c r="E370" s="160">
        <f t="shared" si="34"/>
        <v>0</v>
      </c>
    </row>
    <row r="371" spans="1:5" s="1" customFormat="1" x14ac:dyDescent="0.25">
      <c r="A371" s="4" t="s">
        <v>222</v>
      </c>
      <c r="B371" s="161"/>
      <c r="C371" s="161"/>
      <c r="D371" s="161"/>
      <c r="E371" s="160">
        <f t="shared" si="34"/>
        <v>0</v>
      </c>
    </row>
    <row r="372" spans="1:5" s="1" customFormat="1" x14ac:dyDescent="0.25">
      <c r="A372" s="4" t="s">
        <v>368</v>
      </c>
      <c r="B372" s="161"/>
      <c r="C372" s="161"/>
      <c r="D372" s="161"/>
      <c r="E372" s="160">
        <f t="shared" si="34"/>
        <v>0</v>
      </c>
    </row>
    <row r="373" spans="1:5" s="1" customFormat="1" ht="16.5" thickBot="1" x14ac:dyDescent="0.3">
      <c r="A373" s="12"/>
      <c r="B373" s="162"/>
      <c r="C373" s="162"/>
      <c r="D373" s="162"/>
      <c r="E373" s="311">
        <f t="shared" si="34"/>
        <v>0</v>
      </c>
    </row>
    <row r="374" spans="1:5" s="1" customFormat="1" ht="16.5" thickBot="1" x14ac:dyDescent="0.3">
      <c r="A374" s="42" t="s">
        <v>223</v>
      </c>
      <c r="B374" s="309">
        <f>SUM(B367:B373)</f>
        <v>10475560</v>
      </c>
      <c r="C374" s="309">
        <f>SUM(C367:C373)</f>
        <v>0</v>
      </c>
      <c r="D374" s="310"/>
      <c r="E374" s="314">
        <f t="shared" si="34"/>
        <v>10475560</v>
      </c>
    </row>
    <row r="375" spans="1:5" s="1" customFormat="1" ht="16.5" thickBot="1" x14ac:dyDescent="0.3">
      <c r="A375" s="2"/>
      <c r="B375" s="2"/>
      <c r="C375" s="2"/>
      <c r="D375" s="2"/>
      <c r="E375" s="2"/>
    </row>
    <row r="376" spans="1:5" s="1" customFormat="1" ht="16.5" thickBot="1" x14ac:dyDescent="0.3">
      <c r="A376" s="61" t="s">
        <v>224</v>
      </c>
      <c r="B376" s="6" t="s">
        <v>476</v>
      </c>
      <c r="C376" s="6" t="s">
        <v>504</v>
      </c>
      <c r="D376" s="6" t="s">
        <v>505</v>
      </c>
      <c r="E376" s="7" t="s">
        <v>213</v>
      </c>
    </row>
    <row r="377" spans="1:5" s="1" customFormat="1" x14ac:dyDescent="0.25">
      <c r="A377" s="9" t="s">
        <v>225</v>
      </c>
      <c r="B377" s="160"/>
      <c r="C377" s="160"/>
      <c r="D377" s="160"/>
      <c r="E377" s="160">
        <f>SUM(B377:D377)</f>
        <v>0</v>
      </c>
    </row>
    <row r="378" spans="1:5" s="1" customFormat="1" x14ac:dyDescent="0.25">
      <c r="A378" s="4" t="s">
        <v>226</v>
      </c>
      <c r="B378" s="161">
        <v>5000000</v>
      </c>
      <c r="C378" s="161"/>
      <c r="D378" s="161"/>
      <c r="E378" s="161">
        <f>SUM(B378:D378)</f>
        <v>5000000</v>
      </c>
    </row>
    <row r="379" spans="1:5" s="1" customFormat="1" x14ac:dyDescent="0.25">
      <c r="A379" s="4" t="s">
        <v>360</v>
      </c>
      <c r="B379" s="161">
        <v>5475560</v>
      </c>
      <c r="C379" s="161"/>
      <c r="D379" s="161"/>
      <c r="E379" s="161">
        <f>SUM(B379:D379)</f>
        <v>5475560</v>
      </c>
    </row>
    <row r="380" spans="1:5" s="1" customFormat="1" x14ac:dyDescent="0.25">
      <c r="A380" s="4" t="s">
        <v>227</v>
      </c>
      <c r="B380" s="161"/>
      <c r="C380" s="161"/>
      <c r="D380" s="161"/>
      <c r="E380" s="161">
        <f>SUM(B380:D380)</f>
        <v>0</v>
      </c>
    </row>
    <row r="381" spans="1:5" s="1" customFormat="1" ht="16.5" thickBot="1" x14ac:dyDescent="0.3">
      <c r="A381" s="12" t="s">
        <v>313</v>
      </c>
      <c r="B381" s="162"/>
      <c r="C381" s="162"/>
      <c r="D381" s="162"/>
      <c r="E381" s="162"/>
    </row>
    <row r="382" spans="1:5" s="1" customFormat="1" ht="16.5" thickBot="1" x14ac:dyDescent="0.3">
      <c r="A382" s="42" t="s">
        <v>228</v>
      </c>
      <c r="B382" s="309">
        <f>SUM(B377:B381)</f>
        <v>10475560</v>
      </c>
      <c r="C382" s="309">
        <f t="shared" ref="C382" si="35">SUM(C377:C381)</f>
        <v>0</v>
      </c>
      <c r="D382" s="309">
        <f>SUM(D377:D381)</f>
        <v>0</v>
      </c>
      <c r="E382" s="309">
        <f>SUM(E377:E381)</f>
        <v>10475560</v>
      </c>
    </row>
  </sheetData>
  <mergeCells count="12">
    <mergeCell ref="A345:E345"/>
    <mergeCell ref="A365:E365"/>
    <mergeCell ref="A245:E245"/>
    <mergeCell ref="A265:E265"/>
    <mergeCell ref="A285:E285"/>
    <mergeCell ref="A305:E305"/>
    <mergeCell ref="A325:E325"/>
    <mergeCell ref="A1:E1"/>
    <mergeCell ref="A3:E3"/>
    <mergeCell ref="A185:E185"/>
    <mergeCell ref="A205:E205"/>
    <mergeCell ref="A225:E225"/>
  </mergeCells>
  <pageMargins left="0.7" right="0.7" top="0.75" bottom="0.75" header="0.3" footer="0.3"/>
  <pageSetup paperSize="9" scale="76" orientation="portrait" r:id="rId1"/>
  <rowBreaks count="2" manualBreakCount="2">
    <brk id="174" max="6" man="1"/>
    <brk id="2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92"/>
  <sheetViews>
    <sheetView topLeftCell="A63" workbookViewId="0">
      <selection activeCell="C72" sqref="C72"/>
    </sheetView>
  </sheetViews>
  <sheetFormatPr defaultRowHeight="15.75" x14ac:dyDescent="0.25"/>
  <cols>
    <col min="1" max="1" width="6.85546875" style="14" customWidth="1"/>
    <col min="2" max="2" width="60.42578125" style="2" customWidth="1"/>
    <col min="3" max="3" width="20.85546875" style="256" bestFit="1" customWidth="1"/>
    <col min="4" max="16384" width="9.140625" style="2"/>
  </cols>
  <sheetData>
    <row r="1" spans="1:3" x14ac:dyDescent="0.25">
      <c r="A1" s="351" t="s">
        <v>442</v>
      </c>
      <c r="B1" s="351"/>
      <c r="C1" s="351"/>
    </row>
    <row r="2" spans="1:3" s="1" customFormat="1" x14ac:dyDescent="0.25">
      <c r="A2" s="352" t="s">
        <v>0</v>
      </c>
      <c r="B2" s="352"/>
      <c r="C2" s="352"/>
    </row>
    <row r="3" spans="1:3" s="1" customFormat="1" ht="44.25" customHeight="1" x14ac:dyDescent="0.25">
      <c r="A3" s="353" t="s">
        <v>443</v>
      </c>
      <c r="B3" s="352"/>
      <c r="C3" s="352"/>
    </row>
    <row r="4" spans="1:3" s="1" customFormat="1" x14ac:dyDescent="0.25">
      <c r="A4" s="352" t="s">
        <v>1</v>
      </c>
      <c r="B4" s="352"/>
      <c r="C4" s="352"/>
    </row>
    <row r="5" spans="1:3" s="1" customFormat="1" ht="16.5" thickBot="1" x14ac:dyDescent="0.3">
      <c r="A5" s="20" t="s">
        <v>88</v>
      </c>
      <c r="C5" s="243"/>
    </row>
    <row r="6" spans="1:3" s="3" customFormat="1" ht="16.5" thickBot="1" x14ac:dyDescent="0.3">
      <c r="A6" s="5">
        <v>1</v>
      </c>
      <c r="B6" s="6">
        <v>2</v>
      </c>
      <c r="C6" s="191">
        <v>3</v>
      </c>
    </row>
    <row r="7" spans="1:3" s="1" customFormat="1" ht="32.25" thickBot="1" x14ac:dyDescent="0.3">
      <c r="A7" s="8" t="s">
        <v>5</v>
      </c>
      <c r="B7" s="6" t="s">
        <v>3</v>
      </c>
      <c r="C7" s="244" t="s">
        <v>439</v>
      </c>
    </row>
    <row r="8" spans="1:3" s="1" customFormat="1" ht="16.5" thickBot="1" x14ac:dyDescent="0.3">
      <c r="A8" s="16" t="s">
        <v>4</v>
      </c>
      <c r="B8" s="10" t="s">
        <v>17</v>
      </c>
      <c r="C8" s="245">
        <f>SUM(C9:C14)</f>
        <v>35965</v>
      </c>
    </row>
    <row r="9" spans="1:3" x14ac:dyDescent="0.25">
      <c r="A9" s="17" t="s">
        <v>7</v>
      </c>
      <c r="B9" s="9" t="s">
        <v>31</v>
      </c>
      <c r="C9" s="246"/>
    </row>
    <row r="10" spans="1:3" x14ac:dyDescent="0.25">
      <c r="A10" s="18" t="s">
        <v>8</v>
      </c>
      <c r="B10" s="4" t="s">
        <v>32</v>
      </c>
      <c r="C10" s="247"/>
    </row>
    <row r="11" spans="1:3" x14ac:dyDescent="0.25">
      <c r="A11" s="18" t="s">
        <v>9</v>
      </c>
      <c r="B11" s="4" t="s">
        <v>33</v>
      </c>
      <c r="C11" s="247">
        <v>35965</v>
      </c>
    </row>
    <row r="12" spans="1:3" x14ac:dyDescent="0.25">
      <c r="A12" s="18" t="s">
        <v>10</v>
      </c>
      <c r="B12" s="4" t="s">
        <v>34</v>
      </c>
      <c r="C12" s="247"/>
    </row>
    <row r="13" spans="1:3" x14ac:dyDescent="0.25">
      <c r="A13" s="18" t="s">
        <v>11</v>
      </c>
      <c r="B13" s="4" t="s">
        <v>35</v>
      </c>
      <c r="C13" s="247"/>
    </row>
    <row r="14" spans="1:3" ht="16.5" thickBot="1" x14ac:dyDescent="0.3">
      <c r="A14" s="19" t="s">
        <v>12</v>
      </c>
      <c r="B14" s="12" t="s">
        <v>396</v>
      </c>
      <c r="C14" s="248"/>
    </row>
    <row r="15" spans="1:3" s="1" customFormat="1" ht="16.5" thickBot="1" x14ac:dyDescent="0.3">
      <c r="A15" s="16" t="s">
        <v>6</v>
      </c>
      <c r="B15" s="10" t="s">
        <v>40</v>
      </c>
      <c r="C15" s="245">
        <f>SUM(C16:C17)</f>
        <v>21181.81</v>
      </c>
    </row>
    <row r="16" spans="1:3" x14ac:dyDescent="0.25">
      <c r="A16" s="17" t="s">
        <v>13</v>
      </c>
      <c r="B16" s="9" t="s">
        <v>37</v>
      </c>
      <c r="C16" s="246"/>
    </row>
    <row r="17" spans="1:3" x14ac:dyDescent="0.25">
      <c r="A17" s="18" t="s">
        <v>14</v>
      </c>
      <c r="B17" s="4" t="s">
        <v>38</v>
      </c>
      <c r="C17" s="247">
        <v>21181.81</v>
      </c>
    </row>
    <row r="18" spans="1:3" ht="16.5" thickBot="1" x14ac:dyDescent="0.3">
      <c r="A18" s="19" t="s">
        <v>15</v>
      </c>
      <c r="B18" s="12" t="s">
        <v>39</v>
      </c>
      <c r="C18" s="248">
        <v>20830.810000000001</v>
      </c>
    </row>
    <row r="19" spans="1:3" s="1" customFormat="1" ht="16.5" thickBot="1" x14ac:dyDescent="0.3">
      <c r="A19" s="16" t="s">
        <v>16</v>
      </c>
      <c r="B19" s="10" t="s">
        <v>44</v>
      </c>
      <c r="C19" s="245">
        <f>SUM(C20:C21)</f>
        <v>115562.95</v>
      </c>
    </row>
    <row r="20" spans="1:3" x14ac:dyDescent="0.25">
      <c r="A20" s="17" t="s">
        <v>18</v>
      </c>
      <c r="B20" s="9" t="s">
        <v>41</v>
      </c>
      <c r="C20" s="246"/>
    </row>
    <row r="21" spans="1:3" x14ac:dyDescent="0.25">
      <c r="A21" s="18" t="s">
        <v>19</v>
      </c>
      <c r="B21" s="4" t="s">
        <v>42</v>
      </c>
      <c r="C21" s="247">
        <v>115562.95</v>
      </c>
    </row>
    <row r="22" spans="1:3" ht="16.5" thickBot="1" x14ac:dyDescent="0.3">
      <c r="A22" s="19" t="s">
        <v>20</v>
      </c>
      <c r="B22" s="12" t="s">
        <v>43</v>
      </c>
      <c r="C22" s="248">
        <v>115562.95</v>
      </c>
    </row>
    <row r="23" spans="1:3" s="1" customFormat="1" ht="16.5" thickBot="1" x14ac:dyDescent="0.3">
      <c r="A23" s="16" t="s">
        <v>21</v>
      </c>
      <c r="B23" s="10" t="s">
        <v>22</v>
      </c>
      <c r="C23" s="245">
        <f>C24+C27+C28+C29</f>
        <v>22059.351999999999</v>
      </c>
    </row>
    <row r="24" spans="1:3" x14ac:dyDescent="0.25">
      <c r="A24" s="17" t="s">
        <v>23</v>
      </c>
      <c r="B24" s="9" t="s">
        <v>575</v>
      </c>
      <c r="C24" s="246">
        <f>C25+C26</f>
        <v>22059.351999999999</v>
      </c>
    </row>
    <row r="25" spans="1:3" x14ac:dyDescent="0.25">
      <c r="A25" s="18" t="s">
        <v>24</v>
      </c>
      <c r="B25" s="4" t="s">
        <v>46</v>
      </c>
      <c r="C25" s="247"/>
    </row>
    <row r="26" spans="1:3" x14ac:dyDescent="0.25">
      <c r="A26" s="18" t="s">
        <v>25</v>
      </c>
      <c r="B26" s="4" t="s">
        <v>48</v>
      </c>
      <c r="C26" s="247">
        <v>22059.351999999999</v>
      </c>
    </row>
    <row r="27" spans="1:3" x14ac:dyDescent="0.25">
      <c r="A27" s="18" t="s">
        <v>27</v>
      </c>
      <c r="B27" s="4" t="s">
        <v>49</v>
      </c>
      <c r="C27" s="247"/>
    </row>
    <row r="28" spans="1:3" x14ac:dyDescent="0.25">
      <c r="A28" s="18" t="s">
        <v>28</v>
      </c>
      <c r="B28" s="4" t="s">
        <v>50</v>
      </c>
      <c r="C28" s="247"/>
    </row>
    <row r="29" spans="1:3" ht="16.5" thickBot="1" x14ac:dyDescent="0.3">
      <c r="A29" s="19" t="s">
        <v>29</v>
      </c>
      <c r="B29" s="12" t="s">
        <v>51</v>
      </c>
      <c r="C29" s="248"/>
    </row>
    <row r="30" spans="1:3" s="1" customFormat="1" ht="16.5" thickBot="1" x14ac:dyDescent="0.3">
      <c r="A30" s="16" t="s">
        <v>30</v>
      </c>
      <c r="B30" s="10" t="s">
        <v>52</v>
      </c>
      <c r="C30" s="245">
        <v>33791</v>
      </c>
    </row>
    <row r="31" spans="1:3" s="1" customFormat="1" ht="16.5" thickBot="1" x14ac:dyDescent="0.3">
      <c r="A31" s="21" t="s">
        <v>53</v>
      </c>
      <c r="B31" s="22" t="s">
        <v>54</v>
      </c>
      <c r="C31" s="249"/>
    </row>
    <row r="32" spans="1:3" s="1" customFormat="1" ht="16.5" thickBot="1" x14ac:dyDescent="0.3">
      <c r="A32" s="16" t="s">
        <v>55</v>
      </c>
      <c r="B32" s="10" t="s">
        <v>161</v>
      </c>
      <c r="C32" s="245">
        <v>258</v>
      </c>
    </row>
    <row r="33" spans="1:3" s="1" customFormat="1" ht="16.5" thickBot="1" x14ac:dyDescent="0.3">
      <c r="A33" s="16" t="s">
        <v>57</v>
      </c>
      <c r="B33" s="10" t="s">
        <v>58</v>
      </c>
      <c r="C33" s="245"/>
    </row>
    <row r="34" spans="1:3" s="1" customFormat="1" ht="16.5" thickBot="1" x14ac:dyDescent="0.3">
      <c r="A34" s="16" t="s">
        <v>59</v>
      </c>
      <c r="B34" s="10" t="s">
        <v>138</v>
      </c>
      <c r="C34" s="245">
        <f>C8+C15+C19+C23+C30+C31+C32+C33</f>
        <v>228818.11200000002</v>
      </c>
    </row>
    <row r="35" spans="1:3" s="1" customFormat="1" ht="16.5" thickBot="1" x14ac:dyDescent="0.3">
      <c r="A35" s="16" t="s">
        <v>60</v>
      </c>
      <c r="B35" s="10" t="s">
        <v>61</v>
      </c>
      <c r="C35" s="245">
        <f>SUM(C36:C38)</f>
        <v>0</v>
      </c>
    </row>
    <row r="36" spans="1:3" x14ac:dyDescent="0.25">
      <c r="A36" s="17" t="s">
        <v>62</v>
      </c>
      <c r="B36" s="9" t="s">
        <v>63</v>
      </c>
      <c r="C36" s="246"/>
    </row>
    <row r="37" spans="1:3" x14ac:dyDescent="0.25">
      <c r="A37" s="18" t="s">
        <v>64</v>
      </c>
      <c r="B37" s="4" t="s">
        <v>65</v>
      </c>
      <c r="C37" s="247"/>
    </row>
    <row r="38" spans="1:3" ht="16.5" thickBot="1" x14ac:dyDescent="0.3">
      <c r="A38" s="19" t="s">
        <v>66</v>
      </c>
      <c r="B38" s="12" t="s">
        <v>67</v>
      </c>
      <c r="C38" s="248"/>
    </row>
    <row r="39" spans="1:3" s="1" customFormat="1" ht="16.5" thickBot="1" x14ac:dyDescent="0.3">
      <c r="A39" s="16" t="s">
        <v>68</v>
      </c>
      <c r="B39" s="10" t="s">
        <v>69</v>
      </c>
      <c r="C39" s="245"/>
    </row>
    <row r="40" spans="1:3" s="1" customFormat="1" ht="16.5" thickBot="1" x14ac:dyDescent="0.3">
      <c r="A40" s="16" t="s">
        <v>70</v>
      </c>
      <c r="B40" s="10" t="s">
        <v>576</v>
      </c>
      <c r="C40" s="245">
        <v>642277.63699999999</v>
      </c>
    </row>
    <row r="41" spans="1:3" s="1" customFormat="1" ht="16.5" thickBot="1" x14ac:dyDescent="0.3">
      <c r="A41" s="16" t="s">
        <v>72</v>
      </c>
      <c r="B41" s="10" t="s">
        <v>73</v>
      </c>
      <c r="C41" s="245">
        <f>C42+C43</f>
        <v>0</v>
      </c>
    </row>
    <row r="42" spans="1:3" x14ac:dyDescent="0.25">
      <c r="A42" s="17" t="s">
        <v>74</v>
      </c>
      <c r="B42" s="9" t="s">
        <v>75</v>
      </c>
      <c r="C42" s="246"/>
    </row>
    <row r="43" spans="1:3" ht="16.5" thickBot="1" x14ac:dyDescent="0.3">
      <c r="A43" s="19" t="s">
        <v>76</v>
      </c>
      <c r="B43" s="12" t="s">
        <v>77</v>
      </c>
      <c r="C43" s="248"/>
    </row>
    <row r="44" spans="1:3" s="1" customFormat="1" ht="16.5" thickBot="1" x14ac:dyDescent="0.3">
      <c r="A44" s="16" t="s">
        <v>78</v>
      </c>
      <c r="B44" s="10" t="s">
        <v>79</v>
      </c>
      <c r="C44" s="245"/>
    </row>
    <row r="45" spans="1:3" s="1" customFormat="1" ht="16.5" thickBot="1" x14ac:dyDescent="0.3">
      <c r="A45" s="16" t="s">
        <v>80</v>
      </c>
      <c r="B45" s="10" t="s">
        <v>81</v>
      </c>
      <c r="C45" s="245"/>
    </row>
    <row r="46" spans="1:3" s="1" customFormat="1" ht="16.5" thickBot="1" x14ac:dyDescent="0.3">
      <c r="A46" s="16" t="s">
        <v>82</v>
      </c>
      <c r="B46" s="10" t="s">
        <v>83</v>
      </c>
      <c r="C46" s="245"/>
    </row>
    <row r="47" spans="1:3" s="1" customFormat="1" ht="16.5" thickBot="1" x14ac:dyDescent="0.3">
      <c r="A47" s="16" t="s">
        <v>84</v>
      </c>
      <c r="B47" s="10" t="s">
        <v>85</v>
      </c>
      <c r="C47" s="245">
        <f>C35+C39+C40+C41+C44+C45+C46</f>
        <v>642277.63699999999</v>
      </c>
    </row>
    <row r="48" spans="1:3" s="1" customFormat="1" ht="32.25" thickBot="1" x14ac:dyDescent="0.3">
      <c r="A48" s="16" t="s">
        <v>86</v>
      </c>
      <c r="B48" s="13" t="s">
        <v>87</v>
      </c>
      <c r="C48" s="245">
        <f>C34+C47</f>
        <v>871095.74900000007</v>
      </c>
    </row>
    <row r="50" spans="1:3" x14ac:dyDescent="0.25">
      <c r="A50" s="352" t="s">
        <v>89</v>
      </c>
      <c r="B50" s="352"/>
      <c r="C50" s="352"/>
    </row>
    <row r="51" spans="1:3" ht="16.5" thickBot="1" x14ac:dyDescent="0.3">
      <c r="A51" s="20" t="s">
        <v>90</v>
      </c>
      <c r="B51" s="1"/>
      <c r="C51" s="250"/>
    </row>
    <row r="52" spans="1:3" ht="32.25" thickBot="1" x14ac:dyDescent="0.3">
      <c r="A52" s="26" t="s">
        <v>5</v>
      </c>
      <c r="B52" s="10" t="s">
        <v>91</v>
      </c>
      <c r="C52" s="245" t="s">
        <v>439</v>
      </c>
    </row>
    <row r="53" spans="1:3" ht="16.5" thickBot="1" x14ac:dyDescent="0.3">
      <c r="A53" s="16" t="s">
        <v>4</v>
      </c>
      <c r="B53" s="10" t="s">
        <v>109</v>
      </c>
      <c r="C53" s="245">
        <f>C54+C55+C56+C57+C58+C64</f>
        <v>275599.76699999999</v>
      </c>
    </row>
    <row r="54" spans="1:3" x14ac:dyDescent="0.25">
      <c r="A54" s="23" t="s">
        <v>7</v>
      </c>
      <c r="B54" s="9" t="s">
        <v>92</v>
      </c>
      <c r="C54" s="251">
        <v>81242.944000000003</v>
      </c>
    </row>
    <row r="55" spans="1:3" x14ac:dyDescent="0.25">
      <c r="A55" s="24" t="s">
        <v>8</v>
      </c>
      <c r="B55" s="4" t="s">
        <v>93</v>
      </c>
      <c r="C55" s="252">
        <v>16858.32</v>
      </c>
    </row>
    <row r="56" spans="1:3" x14ac:dyDescent="0.25">
      <c r="A56" s="24" t="s">
        <v>9</v>
      </c>
      <c r="B56" s="4" t="s">
        <v>94</v>
      </c>
      <c r="C56" s="252">
        <v>117947.905</v>
      </c>
    </row>
    <row r="57" spans="1:3" x14ac:dyDescent="0.25">
      <c r="A57" s="24" t="s">
        <v>10</v>
      </c>
      <c r="B57" s="4" t="s">
        <v>310</v>
      </c>
      <c r="C57" s="252">
        <v>3300</v>
      </c>
    </row>
    <row r="58" spans="1:3" x14ac:dyDescent="0.25">
      <c r="A58" s="24" t="s">
        <v>11</v>
      </c>
      <c r="B58" s="4" t="s">
        <v>96</v>
      </c>
      <c r="C58" s="252">
        <f>SUM(C59:C63)</f>
        <v>25107.203000000001</v>
      </c>
    </row>
    <row r="59" spans="1:3" x14ac:dyDescent="0.25">
      <c r="A59" s="24" t="s">
        <v>12</v>
      </c>
      <c r="B59" s="25" t="s">
        <v>97</v>
      </c>
      <c r="C59" s="252"/>
    </row>
    <row r="60" spans="1:3" x14ac:dyDescent="0.25">
      <c r="A60" s="24" t="s">
        <v>98</v>
      </c>
      <c r="B60" s="4" t="s">
        <v>104</v>
      </c>
      <c r="C60" s="252"/>
    </row>
    <row r="61" spans="1:3" x14ac:dyDescent="0.25">
      <c r="A61" s="24" t="s">
        <v>99</v>
      </c>
      <c r="B61" s="4" t="s">
        <v>139</v>
      </c>
      <c r="C61" s="252"/>
    </row>
    <row r="62" spans="1:3" x14ac:dyDescent="0.25">
      <c r="A62" s="24" t="s">
        <v>100</v>
      </c>
      <c r="B62" s="4" t="s">
        <v>140</v>
      </c>
      <c r="C62" s="252">
        <v>19381.203000000001</v>
      </c>
    </row>
    <row r="63" spans="1:3" x14ac:dyDescent="0.25">
      <c r="A63" s="24" t="s">
        <v>101</v>
      </c>
      <c r="B63" s="4" t="s">
        <v>141</v>
      </c>
      <c r="C63" s="252">
        <v>5726</v>
      </c>
    </row>
    <row r="64" spans="1:3" x14ac:dyDescent="0.25">
      <c r="A64" s="24" t="s">
        <v>102</v>
      </c>
      <c r="B64" s="4" t="s">
        <v>103</v>
      </c>
      <c r="C64" s="252">
        <f>SUM(C65:C66)</f>
        <v>31143.395</v>
      </c>
    </row>
    <row r="65" spans="1:3" x14ac:dyDescent="0.25">
      <c r="A65" s="24" t="s">
        <v>105</v>
      </c>
      <c r="B65" s="4" t="s">
        <v>106</v>
      </c>
      <c r="C65" s="252">
        <v>5778</v>
      </c>
    </row>
    <row r="66" spans="1:3" ht="16.5" thickBot="1" x14ac:dyDescent="0.3">
      <c r="A66" s="27" t="s">
        <v>107</v>
      </c>
      <c r="B66" s="12" t="s">
        <v>108</v>
      </c>
      <c r="C66" s="253">
        <v>25365.395</v>
      </c>
    </row>
    <row r="67" spans="1:3" ht="16.5" thickBot="1" x14ac:dyDescent="0.3">
      <c r="A67" s="16" t="s">
        <v>6</v>
      </c>
      <c r="B67" s="10" t="s">
        <v>122</v>
      </c>
      <c r="C67" s="245">
        <f>C68+C70+C72</f>
        <v>595495.98199999996</v>
      </c>
    </row>
    <row r="68" spans="1:3" x14ac:dyDescent="0.25">
      <c r="A68" s="23" t="s">
        <v>13</v>
      </c>
      <c r="B68" s="9" t="s">
        <v>110</v>
      </c>
      <c r="C68" s="251">
        <v>568754.88199999998</v>
      </c>
    </row>
    <row r="69" spans="1:3" x14ac:dyDescent="0.25">
      <c r="A69" s="24" t="s">
        <v>111</v>
      </c>
      <c r="B69" s="4" t="s">
        <v>112</v>
      </c>
      <c r="C69" s="252">
        <v>568754.88199999998</v>
      </c>
    </row>
    <row r="70" spans="1:3" x14ac:dyDescent="0.25">
      <c r="A70" s="24" t="s">
        <v>15</v>
      </c>
      <c r="B70" s="4" t="s">
        <v>113</v>
      </c>
      <c r="C70" s="252">
        <v>26741.1</v>
      </c>
    </row>
    <row r="71" spans="1:3" x14ac:dyDescent="0.25">
      <c r="A71" s="24" t="s">
        <v>114</v>
      </c>
      <c r="B71" s="4" t="s">
        <v>115</v>
      </c>
      <c r="C71" s="252">
        <v>23859</v>
      </c>
    </row>
    <row r="72" spans="1:3" x14ac:dyDescent="0.25">
      <c r="A72" s="24" t="s">
        <v>116</v>
      </c>
      <c r="B72" s="4" t="s">
        <v>117</v>
      </c>
      <c r="C72" s="252"/>
    </row>
    <row r="73" spans="1:3" x14ac:dyDescent="0.25">
      <c r="A73" s="24" t="s">
        <v>118</v>
      </c>
      <c r="B73" s="4" t="s">
        <v>119</v>
      </c>
      <c r="C73" s="252"/>
    </row>
    <row r="74" spans="1:3" ht="16.5" thickBot="1" x14ac:dyDescent="0.3">
      <c r="A74" s="27" t="s">
        <v>120</v>
      </c>
      <c r="B74" s="12" t="s">
        <v>121</v>
      </c>
      <c r="C74" s="253"/>
    </row>
    <row r="75" spans="1:3" ht="16.5" thickBot="1" x14ac:dyDescent="0.3">
      <c r="A75" s="16" t="s">
        <v>16</v>
      </c>
      <c r="B75" s="10" t="s">
        <v>123</v>
      </c>
      <c r="C75" s="245">
        <f>C53+C67</f>
        <v>871095.74899999995</v>
      </c>
    </row>
    <row r="76" spans="1:3" ht="16.5" thickBot="1" x14ac:dyDescent="0.3">
      <c r="A76" s="16" t="s">
        <v>21</v>
      </c>
      <c r="B76" s="10" t="s">
        <v>127</v>
      </c>
      <c r="C76" s="245">
        <f>SUM(C77:C79)</f>
        <v>0</v>
      </c>
    </row>
    <row r="77" spans="1:3" x14ac:dyDescent="0.25">
      <c r="A77" s="23" t="s">
        <v>23</v>
      </c>
      <c r="B77" s="9" t="s">
        <v>124</v>
      </c>
      <c r="C77" s="251"/>
    </row>
    <row r="78" spans="1:3" x14ac:dyDescent="0.25">
      <c r="A78" s="24" t="s">
        <v>27</v>
      </c>
      <c r="B78" s="4" t="s">
        <v>125</v>
      </c>
      <c r="C78" s="252"/>
    </row>
    <row r="79" spans="1:3" ht="16.5" thickBot="1" x14ac:dyDescent="0.3">
      <c r="A79" s="27" t="s">
        <v>28</v>
      </c>
      <c r="B79" s="12" t="s">
        <v>126</v>
      </c>
      <c r="C79" s="253"/>
    </row>
    <row r="80" spans="1:3" ht="16.5" thickBot="1" x14ac:dyDescent="0.3">
      <c r="A80" s="30" t="s">
        <v>30</v>
      </c>
      <c r="B80" s="31" t="s">
        <v>128</v>
      </c>
      <c r="C80" s="254"/>
    </row>
    <row r="81" spans="1:3" ht="16.5" thickBot="1" x14ac:dyDescent="0.3">
      <c r="A81" s="16" t="s">
        <v>53</v>
      </c>
      <c r="B81" s="10" t="s">
        <v>131</v>
      </c>
      <c r="C81" s="245">
        <f>C82</f>
        <v>0</v>
      </c>
    </row>
    <row r="82" spans="1:3" ht="16.5" thickBot="1" x14ac:dyDescent="0.3">
      <c r="A82" s="28" t="s">
        <v>129</v>
      </c>
      <c r="B82" s="29" t="s">
        <v>130</v>
      </c>
      <c r="C82" s="255"/>
    </row>
    <row r="83" spans="1:3" ht="16.5" thickBot="1" x14ac:dyDescent="0.3">
      <c r="A83" s="16" t="s">
        <v>55</v>
      </c>
      <c r="B83" s="10" t="s">
        <v>132</v>
      </c>
      <c r="C83" s="245"/>
    </row>
    <row r="84" spans="1:3" ht="16.5" thickBot="1" x14ac:dyDescent="0.3">
      <c r="A84" s="16" t="s">
        <v>57</v>
      </c>
      <c r="B84" s="10" t="s">
        <v>133</v>
      </c>
      <c r="C84" s="245"/>
    </row>
    <row r="85" spans="1:3" ht="16.5" thickBot="1" x14ac:dyDescent="0.3">
      <c r="A85" s="16" t="s">
        <v>134</v>
      </c>
      <c r="B85" s="10" t="s">
        <v>135</v>
      </c>
      <c r="C85" s="245"/>
    </row>
    <row r="86" spans="1:3" ht="16.5" thickBot="1" x14ac:dyDescent="0.3">
      <c r="A86" s="16" t="s">
        <v>60</v>
      </c>
      <c r="B86" s="10" t="s">
        <v>136</v>
      </c>
      <c r="C86" s="245">
        <f>C76+C80+C81+C83+C84+C85</f>
        <v>0</v>
      </c>
    </row>
    <row r="87" spans="1:3" ht="16.5" thickBot="1" x14ac:dyDescent="0.3">
      <c r="A87" s="16" t="s">
        <v>68</v>
      </c>
      <c r="B87" s="10" t="s">
        <v>137</v>
      </c>
      <c r="C87" s="245">
        <f>C75+C86</f>
        <v>871095.74899999995</v>
      </c>
    </row>
    <row r="89" spans="1:3" s="33" customFormat="1" ht="29.25" customHeight="1" x14ac:dyDescent="0.25">
      <c r="A89" s="350" t="s">
        <v>142</v>
      </c>
      <c r="B89" s="350"/>
      <c r="C89" s="350"/>
    </row>
    <row r="90" spans="1:3" ht="16.5" thickBot="1" x14ac:dyDescent="0.3">
      <c r="A90" s="20" t="s">
        <v>143</v>
      </c>
      <c r="B90" s="1"/>
      <c r="C90" s="243"/>
    </row>
    <row r="91" spans="1:3" ht="32.25" thickBot="1" x14ac:dyDescent="0.3">
      <c r="A91" s="16" t="s">
        <v>4</v>
      </c>
      <c r="B91" s="13" t="s">
        <v>144</v>
      </c>
      <c r="C91" s="245">
        <f>C34-C75</f>
        <v>-642277.63699999987</v>
      </c>
    </row>
    <row r="92" spans="1:3" ht="32.25" thickBot="1" x14ac:dyDescent="0.3">
      <c r="A92" s="16" t="s">
        <v>6</v>
      </c>
      <c r="B92" s="13" t="s">
        <v>145</v>
      </c>
      <c r="C92" s="245">
        <f>C47-C86</f>
        <v>642277.63699999999</v>
      </c>
    </row>
  </sheetData>
  <mergeCells count="6">
    <mergeCell ref="A89:C89"/>
    <mergeCell ref="A1:C1"/>
    <mergeCell ref="A2:C2"/>
    <mergeCell ref="A3:C3"/>
    <mergeCell ref="A4:C4"/>
    <mergeCell ref="A50:C50"/>
  </mergeCells>
  <pageMargins left="0.70866141732283472" right="0.70866141732283472" top="0.74803149606299213" bottom="0.74803149606299213" header="0.31496062992125984" footer="0.31496062992125984"/>
  <pageSetup paperSize="9" scale="94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93"/>
  <sheetViews>
    <sheetView topLeftCell="A43" workbookViewId="0">
      <selection activeCell="G73" sqref="G73"/>
    </sheetView>
  </sheetViews>
  <sheetFormatPr defaultRowHeight="15.75" x14ac:dyDescent="0.25"/>
  <cols>
    <col min="1" max="1" width="6.85546875" style="14" customWidth="1"/>
    <col min="2" max="2" width="60.42578125" style="2" customWidth="1"/>
    <col min="3" max="3" width="20.85546875" style="256" bestFit="1" customWidth="1"/>
    <col min="4" max="16384" width="9.140625" style="2"/>
  </cols>
  <sheetData>
    <row r="1" spans="1:3" x14ac:dyDescent="0.25">
      <c r="A1" s="351" t="s">
        <v>444</v>
      </c>
      <c r="B1" s="351"/>
      <c r="C1" s="351"/>
    </row>
    <row r="2" spans="1:3" s="1" customFormat="1" x14ac:dyDescent="0.25">
      <c r="A2" s="352" t="s">
        <v>0</v>
      </c>
      <c r="B2" s="352"/>
      <c r="C2" s="352"/>
    </row>
    <row r="3" spans="1:3" s="1" customFormat="1" ht="40.5" customHeight="1" x14ac:dyDescent="0.25">
      <c r="A3" s="353" t="s">
        <v>445</v>
      </c>
      <c r="B3" s="352"/>
      <c r="C3" s="352"/>
    </row>
    <row r="4" spans="1:3" s="1" customFormat="1" x14ac:dyDescent="0.25">
      <c r="A4" s="352" t="s">
        <v>1</v>
      </c>
      <c r="B4" s="352"/>
      <c r="C4" s="352"/>
    </row>
    <row r="5" spans="1:3" s="1" customFormat="1" ht="16.5" thickBot="1" x14ac:dyDescent="0.3">
      <c r="A5" s="20" t="s">
        <v>88</v>
      </c>
      <c r="C5" s="243"/>
    </row>
    <row r="6" spans="1:3" s="3" customFormat="1" ht="16.5" thickBot="1" x14ac:dyDescent="0.3">
      <c r="A6" s="5">
        <v>1</v>
      </c>
      <c r="B6" s="6">
        <v>2</v>
      </c>
      <c r="C6" s="191">
        <v>3</v>
      </c>
    </row>
    <row r="7" spans="1:3" s="1" customFormat="1" ht="32.25" thickBot="1" x14ac:dyDescent="0.3">
      <c r="A7" s="8" t="s">
        <v>5</v>
      </c>
      <c r="B7" s="6" t="s">
        <v>3</v>
      </c>
      <c r="C7" s="244" t="s">
        <v>439</v>
      </c>
    </row>
    <row r="8" spans="1:3" s="1" customFormat="1" ht="16.5" thickBot="1" x14ac:dyDescent="0.3">
      <c r="A8" s="16" t="s">
        <v>4</v>
      </c>
      <c r="B8" s="10" t="s">
        <v>17</v>
      </c>
      <c r="C8" s="245">
        <f>SUM(C9:C14)</f>
        <v>7408</v>
      </c>
    </row>
    <row r="9" spans="1:3" x14ac:dyDescent="0.25">
      <c r="A9" s="17" t="s">
        <v>7</v>
      </c>
      <c r="B9" s="9" t="s">
        <v>31</v>
      </c>
      <c r="C9" s="246">
        <v>7408</v>
      </c>
    </row>
    <row r="10" spans="1:3" x14ac:dyDescent="0.25">
      <c r="A10" s="18" t="s">
        <v>8</v>
      </c>
      <c r="B10" s="4" t="s">
        <v>32</v>
      </c>
      <c r="C10" s="247"/>
    </row>
    <row r="11" spans="1:3" x14ac:dyDescent="0.25">
      <c r="A11" s="18" t="s">
        <v>9</v>
      </c>
      <c r="B11" s="4" t="s">
        <v>33</v>
      </c>
      <c r="C11" s="247"/>
    </row>
    <row r="12" spans="1:3" x14ac:dyDescent="0.25">
      <c r="A12" s="18" t="s">
        <v>10</v>
      </c>
      <c r="B12" s="4" t="s">
        <v>34</v>
      </c>
      <c r="C12" s="247"/>
    </row>
    <row r="13" spans="1:3" x14ac:dyDescent="0.25">
      <c r="A13" s="18" t="s">
        <v>11</v>
      </c>
      <c r="B13" s="4" t="s">
        <v>35</v>
      </c>
      <c r="C13" s="247"/>
    </row>
    <row r="14" spans="1:3" ht="16.5" thickBot="1" x14ac:dyDescent="0.3">
      <c r="A14" s="19" t="s">
        <v>12</v>
      </c>
      <c r="B14" s="12" t="s">
        <v>36</v>
      </c>
      <c r="C14" s="248"/>
    </row>
    <row r="15" spans="1:3" s="1" customFormat="1" ht="16.5" thickBot="1" x14ac:dyDescent="0.3">
      <c r="A15" s="16" t="s">
        <v>6</v>
      </c>
      <c r="B15" s="10" t="s">
        <v>40</v>
      </c>
      <c r="C15" s="245">
        <f>SUM(C16:C18)</f>
        <v>0</v>
      </c>
    </row>
    <row r="16" spans="1:3" x14ac:dyDescent="0.25">
      <c r="A16" s="17" t="s">
        <v>13</v>
      </c>
      <c r="B16" s="9" t="s">
        <v>37</v>
      </c>
      <c r="C16" s="246"/>
    </row>
    <row r="17" spans="1:3" x14ac:dyDescent="0.25">
      <c r="A17" s="18" t="s">
        <v>14</v>
      </c>
      <c r="B17" s="4" t="s">
        <v>38</v>
      </c>
      <c r="C17" s="247"/>
    </row>
    <row r="18" spans="1:3" ht="16.5" thickBot="1" x14ac:dyDescent="0.3">
      <c r="A18" s="19" t="s">
        <v>15</v>
      </c>
      <c r="B18" s="12" t="s">
        <v>39</v>
      </c>
      <c r="C18" s="248"/>
    </row>
    <row r="19" spans="1:3" s="1" customFormat="1" ht="16.5" thickBot="1" x14ac:dyDescent="0.3">
      <c r="A19" s="16" t="s">
        <v>16</v>
      </c>
      <c r="B19" s="10" t="s">
        <v>44</v>
      </c>
      <c r="C19" s="245">
        <f>SUM(C20:C21)</f>
        <v>0</v>
      </c>
    </row>
    <row r="20" spans="1:3" x14ac:dyDescent="0.25">
      <c r="A20" s="17" t="s">
        <v>18</v>
      </c>
      <c r="B20" s="9" t="s">
        <v>41</v>
      </c>
      <c r="C20" s="246"/>
    </row>
    <row r="21" spans="1:3" x14ac:dyDescent="0.25">
      <c r="A21" s="18" t="s">
        <v>19</v>
      </c>
      <c r="B21" s="4" t="s">
        <v>42</v>
      </c>
      <c r="C21" s="247"/>
    </row>
    <row r="22" spans="1:3" ht="16.5" thickBot="1" x14ac:dyDescent="0.3">
      <c r="A22" s="19" t="s">
        <v>20</v>
      </c>
      <c r="B22" s="12" t="s">
        <v>43</v>
      </c>
      <c r="C22" s="248"/>
    </row>
    <row r="23" spans="1:3" s="1" customFormat="1" ht="16.5" thickBot="1" x14ac:dyDescent="0.3">
      <c r="A23" s="16" t="s">
        <v>21</v>
      </c>
      <c r="B23" s="10" t="s">
        <v>22</v>
      </c>
      <c r="C23" s="245">
        <f>C24+C28+C29+C30</f>
        <v>0</v>
      </c>
    </row>
    <row r="24" spans="1:3" x14ac:dyDescent="0.25">
      <c r="A24" s="17" t="s">
        <v>23</v>
      </c>
      <c r="B24" s="9" t="s">
        <v>45</v>
      </c>
      <c r="C24" s="246"/>
    </row>
    <row r="25" spans="1:3" x14ac:dyDescent="0.25">
      <c r="A25" s="18" t="s">
        <v>24</v>
      </c>
      <c r="B25" s="4" t="s">
        <v>46</v>
      </c>
      <c r="C25" s="247"/>
    </row>
    <row r="26" spans="1:3" x14ac:dyDescent="0.25">
      <c r="A26" s="18" t="s">
        <v>25</v>
      </c>
      <c r="B26" s="4" t="s">
        <v>47</v>
      </c>
      <c r="C26" s="247"/>
    </row>
    <row r="27" spans="1:3" x14ac:dyDescent="0.25">
      <c r="A27" s="18" t="s">
        <v>26</v>
      </c>
      <c r="B27" s="4" t="s">
        <v>48</v>
      </c>
      <c r="C27" s="247"/>
    </row>
    <row r="28" spans="1:3" x14ac:dyDescent="0.25">
      <c r="A28" s="18" t="s">
        <v>27</v>
      </c>
      <c r="B28" s="4" t="s">
        <v>49</v>
      </c>
      <c r="C28" s="247"/>
    </row>
    <row r="29" spans="1:3" x14ac:dyDescent="0.25">
      <c r="A29" s="18" t="s">
        <v>28</v>
      </c>
      <c r="B29" s="4" t="s">
        <v>50</v>
      </c>
      <c r="C29" s="247"/>
    </row>
    <row r="30" spans="1:3" ht="16.5" thickBot="1" x14ac:dyDescent="0.3">
      <c r="A30" s="19" t="s">
        <v>29</v>
      </c>
      <c r="B30" s="12" t="s">
        <v>51</v>
      </c>
      <c r="C30" s="248"/>
    </row>
    <row r="31" spans="1:3" s="1" customFormat="1" ht="16.5" thickBot="1" x14ac:dyDescent="0.3">
      <c r="A31" s="16" t="s">
        <v>30</v>
      </c>
      <c r="B31" s="10" t="s">
        <v>52</v>
      </c>
      <c r="C31" s="245"/>
    </row>
    <row r="32" spans="1:3" s="1" customFormat="1" ht="16.5" thickBot="1" x14ac:dyDescent="0.3">
      <c r="A32" s="21" t="s">
        <v>53</v>
      </c>
      <c r="B32" s="22" t="s">
        <v>54</v>
      </c>
      <c r="C32" s="249"/>
    </row>
    <row r="33" spans="1:3" s="1" customFormat="1" ht="16.5" thickBot="1" x14ac:dyDescent="0.3">
      <c r="A33" s="16" t="s">
        <v>55</v>
      </c>
      <c r="B33" s="10" t="s">
        <v>56</v>
      </c>
      <c r="C33" s="245"/>
    </row>
    <row r="34" spans="1:3" s="1" customFormat="1" ht="16.5" thickBot="1" x14ac:dyDescent="0.3">
      <c r="A34" s="16" t="s">
        <v>57</v>
      </c>
      <c r="B34" s="10" t="s">
        <v>58</v>
      </c>
      <c r="C34" s="245"/>
    </row>
    <row r="35" spans="1:3" s="1" customFormat="1" ht="16.5" thickBot="1" x14ac:dyDescent="0.3">
      <c r="A35" s="16" t="s">
        <v>59</v>
      </c>
      <c r="B35" s="10" t="s">
        <v>138</v>
      </c>
      <c r="C35" s="245">
        <f>C8+C15+C19+C23+C31+C32+C33+C34</f>
        <v>7408</v>
      </c>
    </row>
    <row r="36" spans="1:3" s="1" customFormat="1" ht="16.5" thickBot="1" x14ac:dyDescent="0.3">
      <c r="A36" s="16" t="s">
        <v>60</v>
      </c>
      <c r="B36" s="10" t="s">
        <v>61</v>
      </c>
      <c r="C36" s="245">
        <f>SUM(C37:C39)</f>
        <v>0</v>
      </c>
    </row>
    <row r="37" spans="1:3" x14ac:dyDescent="0.25">
      <c r="A37" s="17" t="s">
        <v>62</v>
      </c>
      <c r="B37" s="9" t="s">
        <v>63</v>
      </c>
      <c r="C37" s="246"/>
    </row>
    <row r="38" spans="1:3" x14ac:dyDescent="0.25">
      <c r="A38" s="18" t="s">
        <v>64</v>
      </c>
      <c r="B38" s="4" t="s">
        <v>65</v>
      </c>
      <c r="C38" s="247"/>
    </row>
    <row r="39" spans="1:3" ht="16.5" thickBot="1" x14ac:dyDescent="0.3">
      <c r="A39" s="19" t="s">
        <v>66</v>
      </c>
      <c r="B39" s="12" t="s">
        <v>67</v>
      </c>
      <c r="C39" s="248"/>
    </row>
    <row r="40" spans="1:3" s="1" customFormat="1" ht="16.5" thickBot="1" x14ac:dyDescent="0.3">
      <c r="A40" s="16" t="s">
        <v>68</v>
      </c>
      <c r="B40" s="10" t="s">
        <v>69</v>
      </c>
      <c r="C40" s="245"/>
    </row>
    <row r="41" spans="1:3" s="1" customFormat="1" ht="16.5" thickBot="1" x14ac:dyDescent="0.3">
      <c r="A41" s="16" t="s">
        <v>70</v>
      </c>
      <c r="B41" s="10" t="s">
        <v>71</v>
      </c>
      <c r="C41" s="245"/>
    </row>
    <row r="42" spans="1:3" s="1" customFormat="1" ht="16.5" thickBot="1" x14ac:dyDescent="0.3">
      <c r="A42" s="16" t="s">
        <v>72</v>
      </c>
      <c r="B42" s="10" t="s">
        <v>73</v>
      </c>
      <c r="C42" s="245">
        <f>C43+C44</f>
        <v>0</v>
      </c>
    </row>
    <row r="43" spans="1:3" x14ac:dyDescent="0.25">
      <c r="A43" s="17" t="s">
        <v>74</v>
      </c>
      <c r="B43" s="9" t="s">
        <v>75</v>
      </c>
      <c r="C43" s="246"/>
    </row>
    <row r="44" spans="1:3" ht="16.5" thickBot="1" x14ac:dyDescent="0.3">
      <c r="A44" s="19" t="s">
        <v>76</v>
      </c>
      <c r="B44" s="12" t="s">
        <v>77</v>
      </c>
      <c r="C44" s="248"/>
    </row>
    <row r="45" spans="1:3" s="1" customFormat="1" ht="16.5" thickBot="1" x14ac:dyDescent="0.3">
      <c r="A45" s="16" t="s">
        <v>78</v>
      </c>
      <c r="B45" s="10" t="s">
        <v>79</v>
      </c>
      <c r="C45" s="245"/>
    </row>
    <row r="46" spans="1:3" s="1" customFormat="1" ht="16.5" thickBot="1" x14ac:dyDescent="0.3">
      <c r="A46" s="16" t="s">
        <v>80</v>
      </c>
      <c r="B46" s="10" t="s">
        <v>81</v>
      </c>
      <c r="C46" s="245"/>
    </row>
    <row r="47" spans="1:3" s="1" customFormat="1" ht="16.5" thickBot="1" x14ac:dyDescent="0.3">
      <c r="A47" s="16" t="s">
        <v>82</v>
      </c>
      <c r="B47" s="10" t="s">
        <v>83</v>
      </c>
      <c r="C47" s="245"/>
    </row>
    <row r="48" spans="1:3" s="1" customFormat="1" ht="16.5" thickBot="1" x14ac:dyDescent="0.3">
      <c r="A48" s="16" t="s">
        <v>84</v>
      </c>
      <c r="B48" s="10" t="s">
        <v>85</v>
      </c>
      <c r="C48" s="245">
        <f>C36+C40+C41+C42+C45+C46+C47</f>
        <v>0</v>
      </c>
    </row>
    <row r="49" spans="1:3" s="1" customFormat="1" ht="32.25" thickBot="1" x14ac:dyDescent="0.3">
      <c r="A49" s="16" t="s">
        <v>86</v>
      </c>
      <c r="B49" s="13" t="s">
        <v>87</v>
      </c>
      <c r="C49" s="245">
        <f>C35+C48</f>
        <v>7408</v>
      </c>
    </row>
    <row r="51" spans="1:3" x14ac:dyDescent="0.25">
      <c r="A51" s="352" t="s">
        <v>89</v>
      </c>
      <c r="B51" s="352"/>
      <c r="C51" s="352"/>
    </row>
    <row r="52" spans="1:3" ht="16.5" thickBot="1" x14ac:dyDescent="0.3">
      <c r="A52" s="20" t="s">
        <v>90</v>
      </c>
      <c r="B52" s="1"/>
      <c r="C52" s="250"/>
    </row>
    <row r="53" spans="1:3" ht="32.25" thickBot="1" x14ac:dyDescent="0.3">
      <c r="A53" s="26" t="s">
        <v>5</v>
      </c>
      <c r="B53" s="10" t="s">
        <v>91</v>
      </c>
      <c r="C53" s="245" t="s">
        <v>439</v>
      </c>
    </row>
    <row r="54" spans="1:3" ht="16.5" thickBot="1" x14ac:dyDescent="0.3">
      <c r="A54" s="16" t="s">
        <v>4</v>
      </c>
      <c r="B54" s="10" t="s">
        <v>109</v>
      </c>
      <c r="C54" s="245">
        <f>C55+C56+C57+C58+C59+C65</f>
        <v>7408</v>
      </c>
    </row>
    <row r="55" spans="1:3" x14ac:dyDescent="0.25">
      <c r="A55" s="23" t="s">
        <v>7</v>
      </c>
      <c r="B55" s="9" t="s">
        <v>92</v>
      </c>
      <c r="C55" s="251">
        <v>6161.8</v>
      </c>
    </row>
    <row r="56" spans="1:3" x14ac:dyDescent="0.25">
      <c r="A56" s="24" t="s">
        <v>8</v>
      </c>
      <c r="B56" s="4" t="s">
        <v>93</v>
      </c>
      <c r="C56" s="252">
        <v>1246.2</v>
      </c>
    </row>
    <row r="57" spans="1:3" x14ac:dyDescent="0.25">
      <c r="A57" s="24" t="s">
        <v>9</v>
      </c>
      <c r="B57" s="4" t="s">
        <v>94</v>
      </c>
      <c r="C57" s="252"/>
    </row>
    <row r="58" spans="1:3" x14ac:dyDescent="0.25">
      <c r="A58" s="24" t="s">
        <v>10</v>
      </c>
      <c r="B58" s="4" t="s">
        <v>95</v>
      </c>
      <c r="C58" s="252"/>
    </row>
    <row r="59" spans="1:3" x14ac:dyDescent="0.25">
      <c r="A59" s="24" t="s">
        <v>11</v>
      </c>
      <c r="B59" s="4" t="s">
        <v>96</v>
      </c>
      <c r="C59" s="252"/>
    </row>
    <row r="60" spans="1:3" x14ac:dyDescent="0.25">
      <c r="A60" s="24" t="s">
        <v>12</v>
      </c>
      <c r="B60" s="25" t="s">
        <v>97</v>
      </c>
      <c r="C60" s="252"/>
    </row>
    <row r="61" spans="1:3" x14ac:dyDescent="0.25">
      <c r="A61" s="24" t="s">
        <v>98</v>
      </c>
      <c r="B61" s="4" t="s">
        <v>104</v>
      </c>
      <c r="C61" s="252"/>
    </row>
    <row r="62" spans="1:3" x14ac:dyDescent="0.25">
      <c r="A62" s="24" t="s">
        <v>99</v>
      </c>
      <c r="B62" s="4" t="s">
        <v>139</v>
      </c>
      <c r="C62" s="252"/>
    </row>
    <row r="63" spans="1:3" x14ac:dyDescent="0.25">
      <c r="A63" s="24" t="s">
        <v>100</v>
      </c>
      <c r="B63" s="4" t="s">
        <v>140</v>
      </c>
      <c r="C63" s="252"/>
    </row>
    <row r="64" spans="1:3" x14ac:dyDescent="0.25">
      <c r="A64" s="24" t="s">
        <v>101</v>
      </c>
      <c r="B64" s="4" t="s">
        <v>141</v>
      </c>
      <c r="C64" s="252"/>
    </row>
    <row r="65" spans="1:3" x14ac:dyDescent="0.25">
      <c r="A65" s="24" t="s">
        <v>102</v>
      </c>
      <c r="B65" s="4" t="s">
        <v>103</v>
      </c>
      <c r="C65" s="252"/>
    </row>
    <row r="66" spans="1:3" x14ac:dyDescent="0.25">
      <c r="A66" s="24" t="s">
        <v>105</v>
      </c>
      <c r="B66" s="4" t="s">
        <v>106</v>
      </c>
      <c r="C66" s="252"/>
    </row>
    <row r="67" spans="1:3" ht="16.5" thickBot="1" x14ac:dyDescent="0.3">
      <c r="A67" s="27" t="s">
        <v>107</v>
      </c>
      <c r="B67" s="12" t="s">
        <v>108</v>
      </c>
      <c r="C67" s="253"/>
    </row>
    <row r="68" spans="1:3" ht="16.5" thickBot="1" x14ac:dyDescent="0.3">
      <c r="A68" s="16" t="s">
        <v>6</v>
      </c>
      <c r="B68" s="10" t="s">
        <v>122</v>
      </c>
      <c r="C68" s="245">
        <f>C69+C71+C73</f>
        <v>0</v>
      </c>
    </row>
    <row r="69" spans="1:3" x14ac:dyDescent="0.25">
      <c r="A69" s="23" t="s">
        <v>13</v>
      </c>
      <c r="B69" s="9" t="s">
        <v>110</v>
      </c>
      <c r="C69" s="251"/>
    </row>
    <row r="70" spans="1:3" x14ac:dyDescent="0.25">
      <c r="A70" s="24" t="s">
        <v>111</v>
      </c>
      <c r="B70" s="4" t="s">
        <v>112</v>
      </c>
      <c r="C70" s="252"/>
    </row>
    <row r="71" spans="1:3" x14ac:dyDescent="0.25">
      <c r="A71" s="24" t="s">
        <v>15</v>
      </c>
      <c r="B71" s="4" t="s">
        <v>113</v>
      </c>
      <c r="C71" s="252"/>
    </row>
    <row r="72" spans="1:3" x14ac:dyDescent="0.25">
      <c r="A72" s="24" t="s">
        <v>114</v>
      </c>
      <c r="B72" s="4" t="s">
        <v>115</v>
      </c>
      <c r="C72" s="252"/>
    </row>
    <row r="73" spans="1:3" x14ac:dyDescent="0.25">
      <c r="A73" s="24" t="s">
        <v>116</v>
      </c>
      <c r="B73" s="4" t="s">
        <v>117</v>
      </c>
      <c r="C73" s="252"/>
    </row>
    <row r="74" spans="1:3" x14ac:dyDescent="0.25">
      <c r="A74" s="24" t="s">
        <v>118</v>
      </c>
      <c r="B74" s="4" t="s">
        <v>119</v>
      </c>
      <c r="C74" s="252"/>
    </row>
    <row r="75" spans="1:3" ht="16.5" thickBot="1" x14ac:dyDescent="0.3">
      <c r="A75" s="27" t="s">
        <v>120</v>
      </c>
      <c r="B75" s="12" t="s">
        <v>121</v>
      </c>
      <c r="C75" s="253"/>
    </row>
    <row r="76" spans="1:3" ht="16.5" thickBot="1" x14ac:dyDescent="0.3">
      <c r="A76" s="16" t="s">
        <v>16</v>
      </c>
      <c r="B76" s="10" t="s">
        <v>123</v>
      </c>
      <c r="C76" s="245">
        <f>C54+C68</f>
        <v>7408</v>
      </c>
    </row>
    <row r="77" spans="1:3" ht="16.5" thickBot="1" x14ac:dyDescent="0.3">
      <c r="A77" s="16" t="s">
        <v>21</v>
      </c>
      <c r="B77" s="10" t="s">
        <v>127</v>
      </c>
      <c r="C77" s="245">
        <f>SUM(C78:C80)</f>
        <v>0</v>
      </c>
    </row>
    <row r="78" spans="1:3" x14ac:dyDescent="0.25">
      <c r="A78" s="23" t="s">
        <v>23</v>
      </c>
      <c r="B78" s="9" t="s">
        <v>124</v>
      </c>
      <c r="C78" s="251"/>
    </row>
    <row r="79" spans="1:3" x14ac:dyDescent="0.25">
      <c r="A79" s="24" t="s">
        <v>27</v>
      </c>
      <c r="B79" s="4" t="s">
        <v>125</v>
      </c>
      <c r="C79" s="252"/>
    </row>
    <row r="80" spans="1:3" ht="16.5" thickBot="1" x14ac:dyDescent="0.3">
      <c r="A80" s="27" t="s">
        <v>28</v>
      </c>
      <c r="B80" s="12" t="s">
        <v>126</v>
      </c>
      <c r="C80" s="253"/>
    </row>
    <row r="81" spans="1:3" ht="16.5" thickBot="1" x14ac:dyDescent="0.3">
      <c r="A81" s="30" t="s">
        <v>30</v>
      </c>
      <c r="B81" s="31" t="s">
        <v>128</v>
      </c>
      <c r="C81" s="254"/>
    </row>
    <row r="82" spans="1:3" ht="16.5" thickBot="1" x14ac:dyDescent="0.3">
      <c r="A82" s="16" t="s">
        <v>53</v>
      </c>
      <c r="B82" s="10" t="s">
        <v>131</v>
      </c>
      <c r="C82" s="245">
        <f>C83</f>
        <v>0</v>
      </c>
    </row>
    <row r="83" spans="1:3" ht="16.5" thickBot="1" x14ac:dyDescent="0.3">
      <c r="A83" s="28" t="s">
        <v>129</v>
      </c>
      <c r="B83" s="29" t="s">
        <v>130</v>
      </c>
      <c r="C83" s="255"/>
    </row>
    <row r="84" spans="1:3" ht="16.5" thickBot="1" x14ac:dyDescent="0.3">
      <c r="A84" s="16" t="s">
        <v>55</v>
      </c>
      <c r="B84" s="10" t="s">
        <v>132</v>
      </c>
      <c r="C84" s="245"/>
    </row>
    <row r="85" spans="1:3" ht="16.5" thickBot="1" x14ac:dyDescent="0.3">
      <c r="A85" s="16" t="s">
        <v>57</v>
      </c>
      <c r="B85" s="10" t="s">
        <v>133</v>
      </c>
      <c r="C85" s="245"/>
    </row>
    <row r="86" spans="1:3" ht="16.5" thickBot="1" x14ac:dyDescent="0.3">
      <c r="A86" s="16" t="s">
        <v>134</v>
      </c>
      <c r="B86" s="10" t="s">
        <v>135</v>
      </c>
      <c r="C86" s="245"/>
    </row>
    <row r="87" spans="1:3" ht="16.5" thickBot="1" x14ac:dyDescent="0.3">
      <c r="A87" s="16" t="s">
        <v>60</v>
      </c>
      <c r="B87" s="10" t="s">
        <v>136</v>
      </c>
      <c r="C87" s="245">
        <f>C77+C81+C82+C84+C85+C86</f>
        <v>0</v>
      </c>
    </row>
    <row r="88" spans="1:3" ht="16.5" thickBot="1" x14ac:dyDescent="0.3">
      <c r="A88" s="16" t="s">
        <v>68</v>
      </c>
      <c r="B88" s="10" t="s">
        <v>137</v>
      </c>
      <c r="C88" s="245">
        <f>C76+C87</f>
        <v>7408</v>
      </c>
    </row>
    <row r="90" spans="1:3" s="33" customFormat="1" ht="29.25" customHeight="1" x14ac:dyDescent="0.25">
      <c r="A90" s="350" t="s">
        <v>142</v>
      </c>
      <c r="B90" s="350"/>
      <c r="C90" s="350"/>
    </row>
    <row r="91" spans="1:3" ht="16.5" thickBot="1" x14ac:dyDescent="0.3">
      <c r="A91" s="20" t="s">
        <v>143</v>
      </c>
      <c r="B91" s="1"/>
      <c r="C91" s="243"/>
    </row>
    <row r="92" spans="1:3" ht="32.25" thickBot="1" x14ac:dyDescent="0.3">
      <c r="A92" s="16" t="s">
        <v>4</v>
      </c>
      <c r="B92" s="13" t="s">
        <v>144</v>
      </c>
      <c r="C92" s="245">
        <f>C35-C76</f>
        <v>0</v>
      </c>
    </row>
    <row r="93" spans="1:3" ht="32.25" thickBot="1" x14ac:dyDescent="0.3">
      <c r="A93" s="16" t="s">
        <v>6</v>
      </c>
      <c r="B93" s="13" t="s">
        <v>145</v>
      </c>
      <c r="C93" s="245">
        <f>C48-C87</f>
        <v>0</v>
      </c>
    </row>
  </sheetData>
  <mergeCells count="6">
    <mergeCell ref="A90:C90"/>
    <mergeCell ref="A1:C1"/>
    <mergeCell ref="A2:C2"/>
    <mergeCell ref="A3:C3"/>
    <mergeCell ref="A4:C4"/>
    <mergeCell ref="A51:C51"/>
  </mergeCells>
  <pageMargins left="0.70866141732283472" right="0.70866141732283472" top="0.74803149606299213" bottom="0.74803149606299213" header="0.31496062992125984" footer="0.31496062992125984"/>
  <pageSetup paperSize="9" scale="94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22"/>
  <sheetViews>
    <sheetView workbookViewId="0">
      <selection activeCell="C16" sqref="C16"/>
    </sheetView>
  </sheetViews>
  <sheetFormatPr defaultRowHeight="15.75" x14ac:dyDescent="0.25"/>
  <cols>
    <col min="1" max="1" width="5.7109375" style="15" customWidth="1"/>
    <col min="2" max="2" width="57.5703125" style="2" bestFit="1" customWidth="1"/>
    <col min="3" max="3" width="14.7109375" style="192" customWidth="1"/>
    <col min="4" max="4" width="53.85546875" style="2" bestFit="1" customWidth="1"/>
    <col min="5" max="5" width="14.7109375" style="192" customWidth="1"/>
    <col min="6" max="16384" width="9.140625" style="2"/>
  </cols>
  <sheetData>
    <row r="1" spans="1:5" x14ac:dyDescent="0.25">
      <c r="B1" s="354" t="s">
        <v>446</v>
      </c>
      <c r="C1" s="354"/>
      <c r="D1" s="354"/>
      <c r="E1" s="354"/>
    </row>
    <row r="2" spans="1:5" ht="54.75" customHeight="1" x14ac:dyDescent="0.25">
      <c r="A2" s="355" t="s">
        <v>146</v>
      </c>
      <c r="B2" s="355"/>
      <c r="C2" s="355"/>
      <c r="D2" s="355"/>
      <c r="E2" s="355"/>
    </row>
    <row r="3" spans="1:5" x14ac:dyDescent="0.25">
      <c r="A3" s="356" t="s">
        <v>147</v>
      </c>
      <c r="B3" s="356"/>
      <c r="C3" s="356"/>
      <c r="D3" s="356"/>
      <c r="E3" s="356"/>
    </row>
    <row r="4" spans="1:5" ht="16.5" thickBot="1" x14ac:dyDescent="0.3">
      <c r="A4" s="354" t="s">
        <v>380</v>
      </c>
      <c r="B4" s="354"/>
      <c r="C4" s="354"/>
      <c r="D4" s="354"/>
      <c r="E4" s="354"/>
    </row>
    <row r="5" spans="1:5" s="33" customFormat="1" ht="32.25" thickBot="1" x14ac:dyDescent="0.3">
      <c r="A5" s="44" t="s">
        <v>5</v>
      </c>
      <c r="B5" s="6" t="s">
        <v>148</v>
      </c>
      <c r="C5" s="193" t="s">
        <v>447</v>
      </c>
      <c r="D5" s="6" t="s">
        <v>149</v>
      </c>
      <c r="E5" s="195" t="s">
        <v>447</v>
      </c>
    </row>
    <row r="6" spans="1:5" s="15" customFormat="1" ht="16.5" thickBot="1" x14ac:dyDescent="0.3">
      <c r="A6" s="37" t="s">
        <v>150</v>
      </c>
      <c r="B6" s="38" t="s">
        <v>172</v>
      </c>
      <c r="C6" s="194" t="s">
        <v>151</v>
      </c>
      <c r="D6" s="38" t="s">
        <v>152</v>
      </c>
      <c r="E6" s="196" t="s">
        <v>153</v>
      </c>
    </row>
    <row r="7" spans="1:5" x14ac:dyDescent="0.25">
      <c r="A7" s="36" t="s">
        <v>4</v>
      </c>
      <c r="B7" s="9" t="s">
        <v>154</v>
      </c>
      <c r="C7" s="251">
        <v>289048.07</v>
      </c>
      <c r="D7" s="9" t="s">
        <v>92</v>
      </c>
      <c r="E7" s="251">
        <v>351143.73</v>
      </c>
    </row>
    <row r="8" spans="1:5" x14ac:dyDescent="0.25">
      <c r="A8" s="35" t="s">
        <v>6</v>
      </c>
      <c r="B8" s="4" t="s">
        <v>155</v>
      </c>
      <c r="C8" s="252">
        <v>111583.408</v>
      </c>
      <c r="D8" s="4" t="s">
        <v>156</v>
      </c>
      <c r="E8" s="252">
        <v>63075.248</v>
      </c>
    </row>
    <row r="9" spans="1:5" x14ac:dyDescent="0.25">
      <c r="A9" s="35" t="s">
        <v>16</v>
      </c>
      <c r="B9" s="4" t="s">
        <v>158</v>
      </c>
      <c r="C9" s="252">
        <v>20830.810000000001</v>
      </c>
      <c r="D9" s="4" t="s">
        <v>94</v>
      </c>
      <c r="E9" s="252">
        <v>248725.177</v>
      </c>
    </row>
    <row r="10" spans="1:5" x14ac:dyDescent="0.25">
      <c r="A10" s="35" t="s">
        <v>21</v>
      </c>
      <c r="B10" s="4" t="s">
        <v>159</v>
      </c>
      <c r="C10" s="252">
        <v>118432</v>
      </c>
      <c r="D10" s="4" t="s">
        <v>310</v>
      </c>
      <c r="E10" s="252">
        <v>5300</v>
      </c>
    </row>
    <row r="11" spans="1:5" x14ac:dyDescent="0.25">
      <c r="A11" s="35" t="s">
        <v>30</v>
      </c>
      <c r="B11" s="4" t="s">
        <v>160</v>
      </c>
      <c r="C11" s="252">
        <v>66433.5</v>
      </c>
      <c r="D11" s="4" t="s">
        <v>96</v>
      </c>
      <c r="E11" s="252">
        <f>21834.1+22284.203</f>
        <v>44118.303</v>
      </c>
    </row>
    <row r="12" spans="1:5" x14ac:dyDescent="0.25">
      <c r="A12" s="35" t="s">
        <v>53</v>
      </c>
      <c r="B12" s="4" t="s">
        <v>161</v>
      </c>
      <c r="C12" s="252">
        <v>258</v>
      </c>
      <c r="D12" s="4" t="s">
        <v>103</v>
      </c>
      <c r="E12" s="252">
        <f>31143.395-3517.94</f>
        <v>27625.455000000002</v>
      </c>
    </row>
    <row r="13" spans="1:5" ht="16.5" thickBot="1" x14ac:dyDescent="0.3">
      <c r="A13" s="40" t="s">
        <v>55</v>
      </c>
      <c r="B13" s="12" t="s">
        <v>162</v>
      </c>
      <c r="C13" s="253"/>
      <c r="D13" s="12"/>
      <c r="E13" s="253"/>
    </row>
    <row r="14" spans="1:5" ht="16.5" thickBot="1" x14ac:dyDescent="0.3">
      <c r="A14" s="37" t="s">
        <v>57</v>
      </c>
      <c r="B14" s="10" t="s">
        <v>163</v>
      </c>
      <c r="C14" s="258">
        <f>C7+C8+C10+C11+C12</f>
        <v>585754.978</v>
      </c>
      <c r="D14" s="10" t="s">
        <v>164</v>
      </c>
      <c r="E14" s="245">
        <f>SUM(E7:E13)</f>
        <v>739987.91299999994</v>
      </c>
    </row>
    <row r="15" spans="1:5" x14ac:dyDescent="0.25">
      <c r="A15" s="36" t="s">
        <v>59</v>
      </c>
      <c r="B15" s="9" t="s">
        <v>167</v>
      </c>
      <c r="C15" s="251">
        <f>C16</f>
        <v>169584.258</v>
      </c>
      <c r="D15" s="9" t="s">
        <v>171</v>
      </c>
      <c r="E15" s="251"/>
    </row>
    <row r="16" spans="1:5" x14ac:dyDescent="0.25">
      <c r="A16" s="35" t="s">
        <v>60</v>
      </c>
      <c r="B16" s="4" t="s">
        <v>165</v>
      </c>
      <c r="C16" s="252">
        <v>169584.258</v>
      </c>
      <c r="D16" s="4" t="s">
        <v>130</v>
      </c>
      <c r="E16" s="252">
        <v>10031.323</v>
      </c>
    </row>
    <row r="17" spans="1:5" x14ac:dyDescent="0.25">
      <c r="A17" s="35" t="s">
        <v>68</v>
      </c>
      <c r="B17" s="4" t="s">
        <v>168</v>
      </c>
      <c r="C17" s="252"/>
      <c r="D17" s="4" t="s">
        <v>577</v>
      </c>
      <c r="E17" s="252">
        <v>5320</v>
      </c>
    </row>
    <row r="18" spans="1:5" ht="16.5" thickBot="1" x14ac:dyDescent="0.3">
      <c r="A18" s="40" t="s">
        <v>70</v>
      </c>
      <c r="B18" s="12" t="s">
        <v>166</v>
      </c>
      <c r="C18" s="253"/>
      <c r="D18" s="12"/>
      <c r="E18" s="253"/>
    </row>
    <row r="19" spans="1:5" ht="16.5" thickBot="1" x14ac:dyDescent="0.3">
      <c r="A19" s="37" t="s">
        <v>72</v>
      </c>
      <c r="B19" s="10" t="s">
        <v>169</v>
      </c>
      <c r="C19" s="258">
        <f>C15+C17</f>
        <v>169584.258</v>
      </c>
      <c r="D19" s="10" t="s">
        <v>359</v>
      </c>
      <c r="E19" s="245">
        <f>SUM(E15:E18)</f>
        <v>15351.323</v>
      </c>
    </row>
    <row r="20" spans="1:5" ht="16.5" thickBot="1" x14ac:dyDescent="0.3">
      <c r="A20" s="41" t="s">
        <v>78</v>
      </c>
      <c r="B20" s="42" t="s">
        <v>170</v>
      </c>
      <c r="C20" s="258">
        <f>C14+C19</f>
        <v>755339.23600000003</v>
      </c>
      <c r="D20" s="10" t="s">
        <v>173</v>
      </c>
      <c r="E20" s="245">
        <f>E14+E19</f>
        <v>755339.23599999992</v>
      </c>
    </row>
    <row r="21" spans="1:5" ht="16.5" thickBot="1" x14ac:dyDescent="0.3">
      <c r="A21" s="43" t="s">
        <v>80</v>
      </c>
      <c r="B21" s="42" t="s">
        <v>175</v>
      </c>
      <c r="C21" s="258">
        <f>E14-C14</f>
        <v>154232.93499999994</v>
      </c>
      <c r="D21" s="10" t="s">
        <v>174</v>
      </c>
      <c r="E21" s="245">
        <v>0</v>
      </c>
    </row>
    <row r="22" spans="1:5" ht="16.5" thickBot="1" x14ac:dyDescent="0.3">
      <c r="A22" s="43" t="s">
        <v>157</v>
      </c>
      <c r="B22" s="42" t="s">
        <v>176</v>
      </c>
      <c r="C22" s="258">
        <f>C20-E20</f>
        <v>0</v>
      </c>
      <c r="D22" s="10" t="s">
        <v>177</v>
      </c>
      <c r="E22" s="245">
        <v>0</v>
      </c>
    </row>
  </sheetData>
  <mergeCells count="4">
    <mergeCell ref="A4:E4"/>
    <mergeCell ref="A2:E2"/>
    <mergeCell ref="A3:E3"/>
    <mergeCell ref="B1:E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22"/>
  <sheetViews>
    <sheetView workbookViewId="0">
      <selection activeCell="C16" sqref="C16"/>
    </sheetView>
  </sheetViews>
  <sheetFormatPr defaultRowHeight="15.75" x14ac:dyDescent="0.25"/>
  <cols>
    <col min="1" max="1" width="5.7109375" style="15" customWidth="1"/>
    <col min="2" max="2" width="60.28515625" style="2" bestFit="1" customWidth="1"/>
    <col min="3" max="3" width="14.7109375" style="192" customWidth="1"/>
    <col min="4" max="4" width="62.5703125" style="2" bestFit="1" customWidth="1"/>
    <col min="5" max="5" width="14.7109375" style="192" customWidth="1"/>
    <col min="6" max="16384" width="9.140625" style="2"/>
  </cols>
  <sheetData>
    <row r="1" spans="1:5" x14ac:dyDescent="0.25">
      <c r="B1" s="354" t="s">
        <v>448</v>
      </c>
      <c r="C1" s="354"/>
      <c r="D1" s="354"/>
      <c r="E1" s="354"/>
    </row>
    <row r="2" spans="1:5" ht="60" customHeight="1" x14ac:dyDescent="0.25">
      <c r="A2" s="355" t="s">
        <v>178</v>
      </c>
      <c r="B2" s="355"/>
      <c r="C2" s="355"/>
      <c r="D2" s="355"/>
      <c r="E2" s="355"/>
    </row>
    <row r="3" spans="1:5" x14ac:dyDescent="0.25">
      <c r="A3" s="356" t="s">
        <v>147</v>
      </c>
      <c r="B3" s="356"/>
      <c r="C3" s="356"/>
      <c r="D3" s="356"/>
      <c r="E3" s="356"/>
    </row>
    <row r="4" spans="1:5" ht="16.5" thickBot="1" x14ac:dyDescent="0.3">
      <c r="A4" s="354" t="s">
        <v>380</v>
      </c>
      <c r="B4" s="354"/>
      <c r="C4" s="354"/>
      <c r="D4" s="354"/>
      <c r="E4" s="354"/>
    </row>
    <row r="5" spans="1:5" s="33" customFormat="1" ht="32.25" thickBot="1" x14ac:dyDescent="0.3">
      <c r="A5" s="44" t="s">
        <v>5</v>
      </c>
      <c r="B5" s="6" t="s">
        <v>148</v>
      </c>
      <c r="C5" s="193" t="s">
        <v>447</v>
      </c>
      <c r="D5" s="6" t="s">
        <v>149</v>
      </c>
      <c r="E5" s="195" t="s">
        <v>447</v>
      </c>
    </row>
    <row r="6" spans="1:5" s="15" customFormat="1" ht="16.5" thickBot="1" x14ac:dyDescent="0.3">
      <c r="A6" s="37" t="s">
        <v>150</v>
      </c>
      <c r="B6" s="38" t="s">
        <v>172</v>
      </c>
      <c r="C6" s="194" t="s">
        <v>151</v>
      </c>
      <c r="D6" s="38" t="s">
        <v>152</v>
      </c>
      <c r="E6" s="196" t="s">
        <v>153</v>
      </c>
    </row>
    <row r="7" spans="1:5" x14ac:dyDescent="0.25">
      <c r="A7" s="36" t="s">
        <v>4</v>
      </c>
      <c r="B7" s="9" t="s">
        <v>179</v>
      </c>
      <c r="C7" s="251">
        <v>117562.95</v>
      </c>
      <c r="D7" s="9" t="s">
        <v>110</v>
      </c>
      <c r="E7" s="251">
        <v>575368.06200000003</v>
      </c>
    </row>
    <row r="8" spans="1:5" x14ac:dyDescent="0.25">
      <c r="A8" s="35" t="s">
        <v>6</v>
      </c>
      <c r="B8" s="4" t="s">
        <v>180</v>
      </c>
      <c r="C8" s="252">
        <v>115562.95</v>
      </c>
      <c r="D8" s="4" t="s">
        <v>184</v>
      </c>
      <c r="E8" s="252">
        <v>568754.88199999998</v>
      </c>
    </row>
    <row r="9" spans="1:5" x14ac:dyDescent="0.25">
      <c r="A9" s="35" t="s">
        <v>16</v>
      </c>
      <c r="B9" s="4" t="s">
        <v>54</v>
      </c>
      <c r="C9" s="252"/>
      <c r="D9" s="4" t="s">
        <v>113</v>
      </c>
      <c r="E9" s="252">
        <v>28041.8</v>
      </c>
    </row>
    <row r="10" spans="1:5" x14ac:dyDescent="0.25">
      <c r="A10" s="35" t="s">
        <v>21</v>
      </c>
      <c r="B10" s="4" t="s">
        <v>181</v>
      </c>
      <c r="C10" s="252"/>
      <c r="D10" s="4" t="s">
        <v>185</v>
      </c>
      <c r="E10" s="252">
        <v>23859</v>
      </c>
    </row>
    <row r="11" spans="1:5" x14ac:dyDescent="0.25">
      <c r="A11" s="35" t="s">
        <v>30</v>
      </c>
      <c r="B11" s="4" t="s">
        <v>182</v>
      </c>
      <c r="C11" s="252"/>
      <c r="D11" s="4" t="s">
        <v>117</v>
      </c>
      <c r="E11" s="252">
        <v>1000</v>
      </c>
    </row>
    <row r="12" spans="1:5" x14ac:dyDescent="0.25">
      <c r="A12" s="35" t="s">
        <v>53</v>
      </c>
      <c r="B12" s="4" t="s">
        <v>183</v>
      </c>
      <c r="C12" s="252"/>
      <c r="D12" s="4" t="s">
        <v>357</v>
      </c>
      <c r="E12" s="252">
        <v>3517.94</v>
      </c>
    </row>
    <row r="13" spans="1:5" ht="16.5" thickBot="1" x14ac:dyDescent="0.3">
      <c r="A13" s="40" t="s">
        <v>55</v>
      </c>
      <c r="B13" s="12"/>
      <c r="C13" s="253"/>
      <c r="D13" s="12"/>
      <c r="E13" s="253"/>
    </row>
    <row r="14" spans="1:5" ht="16.5" thickBot="1" x14ac:dyDescent="0.3">
      <c r="A14" s="37" t="s">
        <v>57</v>
      </c>
      <c r="B14" s="10" t="s">
        <v>186</v>
      </c>
      <c r="C14" s="258">
        <f>C7+C9+C12</f>
        <v>117562.95</v>
      </c>
      <c r="D14" s="10" t="s">
        <v>358</v>
      </c>
      <c r="E14" s="245">
        <f>E7+E9+E11+E12</f>
        <v>607927.80200000003</v>
      </c>
    </row>
    <row r="15" spans="1:5" x14ac:dyDescent="0.25">
      <c r="A15" s="36" t="s">
        <v>59</v>
      </c>
      <c r="B15" s="9" t="s">
        <v>167</v>
      </c>
      <c r="C15" s="251">
        <f>C16</f>
        <v>490364.85200000001</v>
      </c>
      <c r="D15" s="9" t="s">
        <v>188</v>
      </c>
      <c r="E15" s="251"/>
    </row>
    <row r="16" spans="1:5" x14ac:dyDescent="0.25">
      <c r="A16" s="35" t="s">
        <v>60</v>
      </c>
      <c r="B16" s="4" t="s">
        <v>165</v>
      </c>
      <c r="C16" s="252">
        <v>490364.85200000001</v>
      </c>
      <c r="D16" s="4"/>
      <c r="E16" s="252"/>
    </row>
    <row r="17" spans="1:5" x14ac:dyDescent="0.25">
      <c r="A17" s="35" t="s">
        <v>68</v>
      </c>
      <c r="B17" s="4" t="s">
        <v>168</v>
      </c>
      <c r="C17" s="252"/>
      <c r="D17" s="4"/>
      <c r="E17" s="252"/>
    </row>
    <row r="18" spans="1:5" ht="16.5" thickBot="1" x14ac:dyDescent="0.3">
      <c r="A18" s="40" t="s">
        <v>70</v>
      </c>
      <c r="B18" s="12" t="s">
        <v>187</v>
      </c>
      <c r="C18" s="253"/>
      <c r="D18" s="12"/>
      <c r="E18" s="253"/>
    </row>
    <row r="19" spans="1:5" ht="16.5" thickBot="1" x14ac:dyDescent="0.3">
      <c r="A19" s="37" t="s">
        <v>72</v>
      </c>
      <c r="B19" s="10" t="s">
        <v>189</v>
      </c>
      <c r="C19" s="258">
        <f>C15+C17</f>
        <v>490364.85200000001</v>
      </c>
      <c r="D19" s="10" t="s">
        <v>190</v>
      </c>
      <c r="E19" s="245"/>
    </row>
    <row r="20" spans="1:5" ht="16.5" thickBot="1" x14ac:dyDescent="0.3">
      <c r="A20" s="41" t="s">
        <v>78</v>
      </c>
      <c r="B20" s="42" t="s">
        <v>170</v>
      </c>
      <c r="C20" s="258">
        <f>C14+C19</f>
        <v>607927.80200000003</v>
      </c>
      <c r="D20" s="10" t="s">
        <v>173</v>
      </c>
      <c r="E20" s="245">
        <f>E14+E19</f>
        <v>607927.80200000003</v>
      </c>
    </row>
    <row r="21" spans="1:5" ht="16.5" thickBot="1" x14ac:dyDescent="0.3">
      <c r="A21" s="43" t="s">
        <v>80</v>
      </c>
      <c r="B21" s="42" t="s">
        <v>175</v>
      </c>
      <c r="C21" s="258">
        <f>E14-C14</f>
        <v>490364.85200000001</v>
      </c>
      <c r="D21" s="10" t="s">
        <v>174</v>
      </c>
      <c r="E21" s="245"/>
    </row>
    <row r="22" spans="1:5" ht="16.5" thickBot="1" x14ac:dyDescent="0.3">
      <c r="A22" s="43" t="s">
        <v>157</v>
      </c>
      <c r="B22" s="42" t="s">
        <v>176</v>
      </c>
      <c r="C22" s="258">
        <f>C20-E20</f>
        <v>0</v>
      </c>
      <c r="D22" s="10" t="s">
        <v>177</v>
      </c>
      <c r="E22" s="245">
        <f>E20-C20</f>
        <v>0</v>
      </c>
    </row>
  </sheetData>
  <mergeCells count="4">
    <mergeCell ref="B1:E1"/>
    <mergeCell ref="A2:E2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99"/>
  <sheetViews>
    <sheetView showWhiteSpace="0" view="pageBreakPreview" zoomScaleNormal="100" zoomScaleSheetLayoutView="100" workbookViewId="0">
      <pane xSplit="3" ySplit="5" topLeftCell="D54" activePane="bottomRight" state="frozen"/>
      <selection pane="topRight" activeCell="D1" sqref="D1"/>
      <selection pane="bottomLeft" activeCell="A6" sqref="A6"/>
      <selection pane="bottomRight" activeCell="E65" sqref="E65"/>
    </sheetView>
  </sheetViews>
  <sheetFormatPr defaultRowHeight="15" x14ac:dyDescent="0.25"/>
  <cols>
    <col min="1" max="1" width="8.28515625" style="65" customWidth="1"/>
    <col min="2" max="2" width="14" style="65" customWidth="1"/>
    <col min="3" max="3" width="63.5703125" style="65" customWidth="1"/>
    <col min="4" max="4" width="19.5703125" style="197" customWidth="1"/>
    <col min="5" max="5" width="18.5703125" style="197" customWidth="1"/>
    <col min="6" max="7" width="16.7109375" style="197" customWidth="1"/>
    <col min="8" max="8" width="19.140625" style="197" customWidth="1"/>
    <col min="9" max="9" width="18.85546875" style="197" customWidth="1"/>
    <col min="10" max="10" width="15.85546875" style="197" bestFit="1" customWidth="1"/>
    <col min="11" max="11" width="13.85546875" style="197" bestFit="1" customWidth="1"/>
    <col min="12" max="12" width="14.140625" style="197" bestFit="1" customWidth="1"/>
    <col min="13" max="13" width="20.7109375" style="197" customWidth="1"/>
    <col min="14" max="14" width="11.28515625" style="65" hidden="1" customWidth="1"/>
    <col min="15" max="16384" width="9.140625" style="65"/>
  </cols>
  <sheetData>
    <row r="1" spans="1:19" x14ac:dyDescent="0.25">
      <c r="A1" s="242"/>
      <c r="J1" s="359" t="s">
        <v>449</v>
      </c>
      <c r="K1" s="359"/>
      <c r="L1" s="359"/>
      <c r="M1" s="359"/>
    </row>
    <row r="2" spans="1:19" x14ac:dyDescent="0.25">
      <c r="A2" s="171"/>
      <c r="B2" s="62" t="s">
        <v>150</v>
      </c>
      <c r="C2" s="62" t="s">
        <v>172</v>
      </c>
      <c r="D2" s="198" t="s">
        <v>151</v>
      </c>
      <c r="E2" s="198" t="s">
        <v>152</v>
      </c>
      <c r="F2" s="198" t="s">
        <v>153</v>
      </c>
      <c r="G2" s="198"/>
      <c r="H2" s="198" t="s">
        <v>193</v>
      </c>
      <c r="I2" s="198" t="s">
        <v>229</v>
      </c>
      <c r="J2" s="198" t="s">
        <v>230</v>
      </c>
      <c r="K2" s="198"/>
      <c r="L2" s="198" t="s">
        <v>231</v>
      </c>
      <c r="M2" s="198" t="s">
        <v>232</v>
      </c>
    </row>
    <row r="3" spans="1:19" ht="45.75" customHeight="1" x14ac:dyDescent="0.25">
      <c r="A3" s="62">
        <v>1</v>
      </c>
      <c r="B3" s="62"/>
      <c r="C3" s="357" t="s">
        <v>450</v>
      </c>
      <c r="D3" s="358"/>
      <c r="E3" s="358"/>
      <c r="F3" s="358"/>
      <c r="G3" s="358"/>
      <c r="H3" s="358"/>
      <c r="I3" s="358"/>
      <c r="J3" s="358"/>
      <c r="K3" s="358"/>
      <c r="L3" s="358"/>
      <c r="M3" s="358"/>
    </row>
    <row r="4" spans="1:19" ht="62.25" customHeight="1" x14ac:dyDescent="0.25">
      <c r="A4" s="62">
        <v>2</v>
      </c>
      <c r="B4" s="172" t="s">
        <v>233</v>
      </c>
      <c r="C4" s="173" t="s">
        <v>234</v>
      </c>
      <c r="D4" s="199" t="s">
        <v>160</v>
      </c>
      <c r="E4" s="199" t="s">
        <v>159</v>
      </c>
      <c r="F4" s="199" t="s">
        <v>235</v>
      </c>
      <c r="G4" s="199" t="s">
        <v>413</v>
      </c>
      <c r="H4" s="199" t="s">
        <v>236</v>
      </c>
      <c r="I4" s="199" t="s">
        <v>237</v>
      </c>
      <c r="J4" s="199" t="s">
        <v>238</v>
      </c>
      <c r="K4" s="199" t="s">
        <v>433</v>
      </c>
      <c r="L4" s="199" t="s">
        <v>434</v>
      </c>
      <c r="M4" s="199" t="s">
        <v>239</v>
      </c>
    </row>
    <row r="5" spans="1:19" ht="32.25" customHeight="1" x14ac:dyDescent="0.25">
      <c r="A5" s="62">
        <v>3</v>
      </c>
      <c r="B5" s="62"/>
      <c r="C5" s="173" t="s">
        <v>191</v>
      </c>
      <c r="D5" s="199" t="s">
        <v>439</v>
      </c>
      <c r="E5" s="199" t="s">
        <v>439</v>
      </c>
      <c r="F5" s="199" t="s">
        <v>439</v>
      </c>
      <c r="G5" s="199" t="s">
        <v>439</v>
      </c>
      <c r="H5" s="199" t="s">
        <v>439</v>
      </c>
      <c r="I5" s="199" t="s">
        <v>439</v>
      </c>
      <c r="J5" s="199" t="s">
        <v>439</v>
      </c>
      <c r="K5" s="199" t="s">
        <v>439</v>
      </c>
      <c r="L5" s="199" t="s">
        <v>439</v>
      </c>
      <c r="M5" s="199" t="s">
        <v>439</v>
      </c>
      <c r="N5" s="174" t="s">
        <v>240</v>
      </c>
      <c r="O5" s="174"/>
      <c r="P5" s="175"/>
      <c r="Q5" s="175"/>
      <c r="R5" s="175"/>
      <c r="S5" s="175"/>
    </row>
    <row r="6" spans="1:19" x14ac:dyDescent="0.25">
      <c r="A6" s="62">
        <v>4</v>
      </c>
      <c r="B6" s="62" t="s">
        <v>241</v>
      </c>
      <c r="C6" s="63" t="s">
        <v>242</v>
      </c>
      <c r="D6" s="200"/>
      <c r="E6" s="201">
        <v>106000</v>
      </c>
      <c r="F6" s="200"/>
      <c r="G6" s="200"/>
      <c r="H6" s="200"/>
      <c r="I6" s="200"/>
      <c r="J6" s="200"/>
      <c r="K6" s="200"/>
      <c r="L6" s="200"/>
      <c r="M6" s="202">
        <f>D6+E6+F6+H6+I6+J6+L6+G6+K6</f>
        <v>106000</v>
      </c>
      <c r="N6" s="241">
        <v>69413</v>
      </c>
      <c r="O6" s="175"/>
      <c r="P6" s="175"/>
      <c r="Q6" s="175"/>
      <c r="R6" s="175"/>
      <c r="S6" s="175"/>
    </row>
    <row r="7" spans="1:19" x14ac:dyDescent="0.25">
      <c r="A7" s="62">
        <v>5</v>
      </c>
      <c r="B7" s="62" t="s">
        <v>241</v>
      </c>
      <c r="C7" s="63" t="s">
        <v>243</v>
      </c>
      <c r="D7" s="200"/>
      <c r="E7" s="201">
        <v>50</v>
      </c>
      <c r="F7" s="200"/>
      <c r="G7" s="200"/>
      <c r="H7" s="200"/>
      <c r="I7" s="200"/>
      <c r="J7" s="200"/>
      <c r="K7" s="200"/>
      <c r="L7" s="200"/>
      <c r="M7" s="202">
        <f t="shared" ref="M7:M63" si="0">D7+E7+F7+H7+I7+J7+L7+G7+K7</f>
        <v>50</v>
      </c>
      <c r="N7" s="64">
        <v>97</v>
      </c>
    </row>
    <row r="8" spans="1:19" x14ac:dyDescent="0.25">
      <c r="A8" s="62">
        <v>6</v>
      </c>
      <c r="B8" s="62" t="s">
        <v>241</v>
      </c>
      <c r="C8" s="63" t="s">
        <v>244</v>
      </c>
      <c r="D8" s="200"/>
      <c r="E8" s="201">
        <v>11000</v>
      </c>
      <c r="F8" s="200"/>
      <c r="G8" s="200"/>
      <c r="H8" s="200"/>
      <c r="I8" s="200"/>
      <c r="J8" s="200"/>
      <c r="K8" s="200"/>
      <c r="L8" s="200"/>
      <c r="M8" s="202">
        <f t="shared" si="0"/>
        <v>11000</v>
      </c>
      <c r="N8" s="64">
        <v>10496</v>
      </c>
    </row>
    <row r="9" spans="1:19" x14ac:dyDescent="0.25">
      <c r="A9" s="62">
        <v>7</v>
      </c>
      <c r="B9" s="62" t="s">
        <v>241</v>
      </c>
      <c r="C9" s="63" t="s">
        <v>245</v>
      </c>
      <c r="D9" s="200"/>
      <c r="E9" s="201">
        <v>465</v>
      </c>
      <c r="F9" s="200"/>
      <c r="G9" s="200"/>
      <c r="H9" s="200"/>
      <c r="I9" s="200"/>
      <c r="J9" s="200"/>
      <c r="K9" s="200"/>
      <c r="L9" s="200"/>
      <c r="M9" s="202">
        <f t="shared" si="0"/>
        <v>465</v>
      </c>
      <c r="N9" s="64">
        <v>2296</v>
      </c>
    </row>
    <row r="10" spans="1:19" x14ac:dyDescent="0.25">
      <c r="A10" s="62">
        <v>8</v>
      </c>
      <c r="B10" s="62" t="s">
        <v>241</v>
      </c>
      <c r="C10" s="63" t="s">
        <v>51</v>
      </c>
      <c r="D10" s="201"/>
      <c r="E10" s="200">
        <v>445</v>
      </c>
      <c r="F10" s="200"/>
      <c r="G10" s="200"/>
      <c r="H10" s="200"/>
      <c r="I10" s="200"/>
      <c r="J10" s="200"/>
      <c r="K10" s="200"/>
      <c r="L10" s="200"/>
      <c r="M10" s="202">
        <f t="shared" si="0"/>
        <v>445</v>
      </c>
      <c r="N10" s="64">
        <v>271</v>
      </c>
    </row>
    <row r="11" spans="1:19" x14ac:dyDescent="0.25">
      <c r="A11" s="62">
        <v>9</v>
      </c>
      <c r="B11" s="62" t="s">
        <v>241</v>
      </c>
      <c r="C11" s="63" t="s">
        <v>409</v>
      </c>
      <c r="D11" s="200"/>
      <c r="E11" s="201">
        <v>210</v>
      </c>
      <c r="F11" s="200"/>
      <c r="G11" s="200"/>
      <c r="H11" s="200"/>
      <c r="I11" s="200"/>
      <c r="J11" s="200"/>
      <c r="K11" s="200"/>
      <c r="L11" s="200"/>
      <c r="M11" s="202">
        <f t="shared" si="0"/>
        <v>210</v>
      </c>
      <c r="N11" s="64">
        <v>490</v>
      </c>
    </row>
    <row r="12" spans="1:19" x14ac:dyDescent="0.25">
      <c r="A12" s="62">
        <v>10</v>
      </c>
      <c r="B12" s="62" t="s">
        <v>241</v>
      </c>
      <c r="C12" s="63" t="s">
        <v>410</v>
      </c>
      <c r="D12" s="200"/>
      <c r="E12" s="201">
        <v>260</v>
      </c>
      <c r="F12" s="200"/>
      <c r="G12" s="200"/>
      <c r="H12" s="200"/>
      <c r="I12" s="200"/>
      <c r="J12" s="200"/>
      <c r="K12" s="200"/>
      <c r="L12" s="200"/>
      <c r="M12" s="202">
        <f t="shared" si="0"/>
        <v>260</v>
      </c>
      <c r="N12" s="64"/>
    </row>
    <row r="13" spans="1:19" x14ac:dyDescent="0.25">
      <c r="A13" s="62">
        <v>11</v>
      </c>
      <c r="B13" s="62" t="s">
        <v>241</v>
      </c>
      <c r="C13" s="63" t="s">
        <v>246</v>
      </c>
      <c r="D13" s="200"/>
      <c r="E13" s="201">
        <v>2</v>
      </c>
      <c r="F13" s="200"/>
      <c r="G13" s="200"/>
      <c r="H13" s="200"/>
      <c r="I13" s="201"/>
      <c r="J13" s="201"/>
      <c r="K13" s="201"/>
      <c r="L13" s="200"/>
      <c r="M13" s="202">
        <f t="shared" si="0"/>
        <v>2</v>
      </c>
      <c r="N13" s="64"/>
    </row>
    <row r="14" spans="1:19" x14ac:dyDescent="0.25">
      <c r="A14" s="62">
        <v>12</v>
      </c>
      <c r="B14" s="62" t="s">
        <v>241</v>
      </c>
      <c r="C14" s="63" t="s">
        <v>248</v>
      </c>
      <c r="D14" s="200"/>
      <c r="E14" s="200"/>
      <c r="F14" s="211">
        <v>72180.800000000003</v>
      </c>
      <c r="G14" s="201"/>
      <c r="H14" s="200"/>
      <c r="I14" s="200"/>
      <c r="J14" s="200"/>
      <c r="K14" s="200"/>
      <c r="L14" s="200"/>
      <c r="M14" s="202">
        <f t="shared" si="0"/>
        <v>72180.800000000003</v>
      </c>
      <c r="N14" s="64">
        <v>81479</v>
      </c>
    </row>
    <row r="15" spans="1:19" x14ac:dyDescent="0.25">
      <c r="A15" s="62">
        <v>13</v>
      </c>
      <c r="B15" s="62" t="s">
        <v>241</v>
      </c>
      <c r="C15" s="63" t="s">
        <v>249</v>
      </c>
      <c r="D15" s="200"/>
      <c r="E15" s="200"/>
      <c r="F15" s="211">
        <v>6754.116</v>
      </c>
      <c r="G15" s="201"/>
      <c r="H15" s="200"/>
      <c r="I15" s="200"/>
      <c r="J15" s="200"/>
      <c r="K15" s="200"/>
      <c r="L15" s="200"/>
      <c r="M15" s="202">
        <f t="shared" si="0"/>
        <v>6754.116</v>
      </c>
      <c r="N15" s="64">
        <v>7575</v>
      </c>
    </row>
    <row r="16" spans="1:19" x14ac:dyDescent="0.25">
      <c r="A16" s="62">
        <v>14</v>
      </c>
      <c r="B16" s="62" t="s">
        <v>241</v>
      </c>
      <c r="C16" s="63" t="s">
        <v>250</v>
      </c>
      <c r="D16" s="200"/>
      <c r="E16" s="200"/>
      <c r="F16" s="211">
        <v>13728</v>
      </c>
      <c r="G16" s="201"/>
      <c r="H16" s="200"/>
      <c r="I16" s="200"/>
      <c r="J16" s="200"/>
      <c r="K16" s="200"/>
      <c r="L16" s="200"/>
      <c r="M16" s="202">
        <f t="shared" si="0"/>
        <v>13728</v>
      </c>
      <c r="N16" s="64">
        <v>12149</v>
      </c>
    </row>
    <row r="17" spans="1:14" x14ac:dyDescent="0.25">
      <c r="A17" s="62">
        <v>15</v>
      </c>
      <c r="B17" s="62" t="s">
        <v>241</v>
      </c>
      <c r="C17" s="63" t="s">
        <v>348</v>
      </c>
      <c r="D17" s="200"/>
      <c r="E17" s="200"/>
      <c r="F17" s="211">
        <v>1076.424</v>
      </c>
      <c r="G17" s="201"/>
      <c r="H17" s="200"/>
      <c r="I17" s="200"/>
      <c r="J17" s="200"/>
      <c r="K17" s="200"/>
      <c r="L17" s="200"/>
      <c r="M17" s="202">
        <f t="shared" si="0"/>
        <v>1076.424</v>
      </c>
      <c r="N17" s="64"/>
    </row>
    <row r="18" spans="1:14" x14ac:dyDescent="0.25">
      <c r="A18" s="62">
        <v>16</v>
      </c>
      <c r="B18" s="62" t="s">
        <v>241</v>
      </c>
      <c r="C18" s="63" t="s">
        <v>251</v>
      </c>
      <c r="D18" s="200"/>
      <c r="E18" s="200"/>
      <c r="F18" s="211">
        <v>6117.65</v>
      </c>
      <c r="G18" s="201"/>
      <c r="H18" s="200"/>
      <c r="I18" s="200"/>
      <c r="J18" s="200"/>
      <c r="K18" s="200"/>
      <c r="L18" s="200"/>
      <c r="M18" s="202">
        <f t="shared" si="0"/>
        <v>6117.65</v>
      </c>
      <c r="N18" s="64">
        <v>6118</v>
      </c>
    </row>
    <row r="19" spans="1:14" x14ac:dyDescent="0.25">
      <c r="A19" s="62">
        <v>17</v>
      </c>
      <c r="B19" s="62" t="s">
        <v>241</v>
      </c>
      <c r="C19" s="63" t="s">
        <v>494</v>
      </c>
      <c r="D19" s="200"/>
      <c r="E19" s="200"/>
      <c r="F19" s="211">
        <v>0</v>
      </c>
      <c r="G19" s="201"/>
      <c r="H19" s="200"/>
      <c r="I19" s="200"/>
      <c r="J19" s="200"/>
      <c r="K19" s="200"/>
      <c r="L19" s="200"/>
      <c r="M19" s="202">
        <f t="shared" si="0"/>
        <v>0</v>
      </c>
      <c r="N19" s="64"/>
    </row>
    <row r="20" spans="1:14" x14ac:dyDescent="0.25">
      <c r="A20" s="62">
        <v>18</v>
      </c>
      <c r="B20" s="62" t="s">
        <v>241</v>
      </c>
      <c r="C20" s="63" t="s">
        <v>361</v>
      </c>
      <c r="D20" s="200"/>
      <c r="E20" s="200"/>
      <c r="F20" s="211">
        <v>0</v>
      </c>
      <c r="G20" s="201"/>
      <c r="H20" s="200"/>
      <c r="I20" s="200"/>
      <c r="J20" s="200"/>
      <c r="K20" s="200"/>
      <c r="L20" s="200"/>
      <c r="M20" s="202">
        <f t="shared" si="0"/>
        <v>0</v>
      </c>
      <c r="N20" s="64"/>
    </row>
    <row r="21" spans="1:14" x14ac:dyDescent="0.25">
      <c r="A21" s="62">
        <v>19</v>
      </c>
      <c r="B21" s="62" t="s">
        <v>241</v>
      </c>
      <c r="C21" s="63" t="s">
        <v>253</v>
      </c>
      <c r="D21" s="200"/>
      <c r="E21" s="200"/>
      <c r="F21" s="211">
        <v>5.2</v>
      </c>
      <c r="G21" s="201"/>
      <c r="H21" s="200"/>
      <c r="I21" s="200"/>
      <c r="J21" s="200"/>
      <c r="K21" s="200"/>
      <c r="L21" s="200"/>
      <c r="M21" s="202">
        <f t="shared" si="0"/>
        <v>5.2</v>
      </c>
      <c r="N21" s="64">
        <v>9560</v>
      </c>
    </row>
    <row r="22" spans="1:14" x14ac:dyDescent="0.25">
      <c r="A22" s="62">
        <v>20</v>
      </c>
      <c r="B22" s="62" t="s">
        <v>241</v>
      </c>
      <c r="C22" s="63" t="s">
        <v>252</v>
      </c>
      <c r="D22" s="200"/>
      <c r="E22" s="200"/>
      <c r="F22" s="211">
        <v>8.1</v>
      </c>
      <c r="G22" s="201"/>
      <c r="H22" s="200"/>
      <c r="I22" s="200"/>
      <c r="J22" s="200"/>
      <c r="K22" s="200"/>
      <c r="L22" s="200"/>
      <c r="M22" s="202">
        <f t="shared" si="0"/>
        <v>8.1</v>
      </c>
      <c r="N22" s="64">
        <v>68</v>
      </c>
    </row>
    <row r="23" spans="1:14" x14ac:dyDescent="0.25">
      <c r="A23" s="62">
        <v>21</v>
      </c>
      <c r="B23" s="62" t="s">
        <v>241</v>
      </c>
      <c r="C23" s="63" t="s">
        <v>406</v>
      </c>
      <c r="D23" s="200"/>
      <c r="E23" s="200"/>
      <c r="F23" s="211">
        <v>972.4</v>
      </c>
      <c r="G23" s="201"/>
      <c r="H23" s="200"/>
      <c r="I23" s="200"/>
      <c r="J23" s="200"/>
      <c r="K23" s="200"/>
      <c r="L23" s="200"/>
      <c r="M23" s="202">
        <f t="shared" si="0"/>
        <v>972.4</v>
      </c>
      <c r="N23" s="64"/>
    </row>
    <row r="24" spans="1:14" x14ac:dyDescent="0.25">
      <c r="A24" s="62">
        <v>22</v>
      </c>
      <c r="B24" s="62" t="s">
        <v>241</v>
      </c>
      <c r="C24" s="63" t="s">
        <v>362</v>
      </c>
      <c r="D24" s="200"/>
      <c r="E24" s="200"/>
      <c r="F24" s="212">
        <f>29726.2+13230+14863.1+6615</f>
        <v>64434.299999999996</v>
      </c>
      <c r="G24" s="201"/>
      <c r="H24" s="200"/>
      <c r="I24" s="200"/>
      <c r="J24" s="200"/>
      <c r="K24" s="200"/>
      <c r="L24" s="200"/>
      <c r="M24" s="202">
        <f t="shared" si="0"/>
        <v>64434.299999999996</v>
      </c>
      <c r="N24" s="64">
        <v>62034</v>
      </c>
    </row>
    <row r="25" spans="1:14" x14ac:dyDescent="0.25">
      <c r="A25" s="62">
        <v>23</v>
      </c>
      <c r="B25" s="62" t="s">
        <v>241</v>
      </c>
      <c r="C25" s="63" t="s">
        <v>254</v>
      </c>
      <c r="D25" s="200"/>
      <c r="E25" s="200"/>
      <c r="F25" s="212">
        <f>7207.6+3603.8</f>
        <v>10811.400000000001</v>
      </c>
      <c r="G25" s="201"/>
      <c r="H25" s="200"/>
      <c r="I25" s="203"/>
      <c r="J25" s="200"/>
      <c r="K25" s="200"/>
      <c r="L25" s="200"/>
      <c r="M25" s="202">
        <f t="shared" si="0"/>
        <v>10811.400000000001</v>
      </c>
      <c r="N25" s="64">
        <v>7037</v>
      </c>
    </row>
    <row r="26" spans="1:14" x14ac:dyDescent="0.25">
      <c r="A26" s="62">
        <v>24</v>
      </c>
      <c r="B26" s="62" t="s">
        <v>241</v>
      </c>
      <c r="C26" s="63" t="s">
        <v>338</v>
      </c>
      <c r="D26" s="200"/>
      <c r="E26" s="200"/>
      <c r="F26" s="212">
        <v>1190.0999999999999</v>
      </c>
      <c r="G26" s="201"/>
      <c r="H26" s="200"/>
      <c r="I26" s="203"/>
      <c r="J26" s="200"/>
      <c r="K26" s="200"/>
      <c r="L26" s="200"/>
      <c r="M26" s="202">
        <f t="shared" si="0"/>
        <v>1190.0999999999999</v>
      </c>
      <c r="N26" s="64"/>
    </row>
    <row r="27" spans="1:14" x14ac:dyDescent="0.25">
      <c r="A27" s="62">
        <v>25</v>
      </c>
      <c r="B27" s="62" t="s">
        <v>241</v>
      </c>
      <c r="C27" s="176" t="s">
        <v>255</v>
      </c>
      <c r="D27" s="200"/>
      <c r="E27" s="200"/>
      <c r="F27" s="286">
        <v>22332.134999999998</v>
      </c>
      <c r="G27" s="204"/>
      <c r="H27" s="200"/>
      <c r="I27" s="200"/>
      <c r="J27" s="200"/>
      <c r="K27" s="200"/>
      <c r="L27" s="200"/>
      <c r="M27" s="202">
        <f t="shared" si="0"/>
        <v>22332.134999999998</v>
      </c>
      <c r="N27" s="64"/>
    </row>
    <row r="28" spans="1:14" x14ac:dyDescent="0.25">
      <c r="A28" s="62">
        <v>26</v>
      </c>
      <c r="B28" s="62" t="s">
        <v>241</v>
      </c>
      <c r="C28" s="63" t="s">
        <v>257</v>
      </c>
      <c r="D28" s="200"/>
      <c r="E28" s="200"/>
      <c r="F28" s="213">
        <f>3400+2269.76+75+5610+1635</f>
        <v>12989.76</v>
      </c>
      <c r="G28" s="201"/>
      <c r="H28" s="200"/>
      <c r="I28" s="200"/>
      <c r="J28" s="200"/>
      <c r="K28" s="200"/>
      <c r="L28" s="200"/>
      <c r="M28" s="202">
        <f t="shared" si="0"/>
        <v>12989.76</v>
      </c>
      <c r="N28" s="64">
        <v>15731</v>
      </c>
    </row>
    <row r="29" spans="1:14" x14ac:dyDescent="0.25">
      <c r="A29" s="62">
        <v>27</v>
      </c>
      <c r="B29" s="62" t="s">
        <v>247</v>
      </c>
      <c r="C29" s="63" t="s">
        <v>258</v>
      </c>
      <c r="D29" s="200"/>
      <c r="E29" s="200"/>
      <c r="F29" s="213">
        <f>22784+13181</f>
        <v>35965</v>
      </c>
      <c r="G29" s="201"/>
      <c r="H29" s="200"/>
      <c r="I29" s="200"/>
      <c r="J29" s="200"/>
      <c r="K29" s="200"/>
      <c r="L29" s="200"/>
      <c r="M29" s="202">
        <f t="shared" si="0"/>
        <v>35965</v>
      </c>
      <c r="N29" s="64">
        <v>32497</v>
      </c>
    </row>
    <row r="30" spans="1:14" x14ac:dyDescent="0.25">
      <c r="A30" s="62">
        <v>28</v>
      </c>
      <c r="B30" s="62" t="s">
        <v>241</v>
      </c>
      <c r="C30" s="63" t="s">
        <v>256</v>
      </c>
      <c r="D30" s="200"/>
      <c r="E30" s="200"/>
      <c r="F30" s="213">
        <f>13870+21910.825</f>
        <v>35780.824999999997</v>
      </c>
      <c r="G30" s="201"/>
      <c r="H30" s="200"/>
      <c r="I30" s="203"/>
      <c r="J30" s="200"/>
      <c r="K30" s="200"/>
      <c r="L30" s="200"/>
      <c r="M30" s="202">
        <f t="shared" si="0"/>
        <v>35780.824999999997</v>
      </c>
      <c r="N30" s="64">
        <v>45939</v>
      </c>
    </row>
    <row r="31" spans="1:14" x14ac:dyDescent="0.25">
      <c r="A31" s="62">
        <v>29</v>
      </c>
      <c r="B31" s="62" t="s">
        <v>241</v>
      </c>
      <c r="C31" s="63" t="s">
        <v>411</v>
      </c>
      <c r="D31" s="200"/>
      <c r="E31" s="200"/>
      <c r="F31" s="213">
        <v>357.96</v>
      </c>
      <c r="G31" s="201"/>
      <c r="H31" s="200"/>
      <c r="I31" s="200"/>
      <c r="J31" s="200"/>
      <c r="K31" s="200"/>
      <c r="L31" s="200"/>
      <c r="M31" s="202">
        <f t="shared" si="0"/>
        <v>357.96</v>
      </c>
      <c r="N31" s="64"/>
    </row>
    <row r="32" spans="1:14" x14ac:dyDescent="0.25">
      <c r="A32" s="62">
        <v>30</v>
      </c>
      <c r="B32" s="62" t="s">
        <v>241</v>
      </c>
      <c r="C32" s="63" t="s">
        <v>259</v>
      </c>
      <c r="D32" s="200"/>
      <c r="E32" s="200"/>
      <c r="F32" s="287">
        <v>4343.8999999999996</v>
      </c>
      <c r="G32" s="201"/>
      <c r="H32" s="200"/>
      <c r="I32" s="200"/>
      <c r="J32" s="200"/>
      <c r="K32" s="200"/>
      <c r="L32" s="200"/>
      <c r="M32" s="202">
        <f t="shared" si="0"/>
        <v>4343.8999999999996</v>
      </c>
      <c r="N32" s="64">
        <v>4305</v>
      </c>
    </row>
    <row r="33" spans="1:14" x14ac:dyDescent="0.25">
      <c r="A33" s="62">
        <v>31</v>
      </c>
      <c r="B33" s="62" t="s">
        <v>241</v>
      </c>
      <c r="C33" s="63" t="s">
        <v>260</v>
      </c>
      <c r="D33" s="200"/>
      <c r="E33" s="200"/>
      <c r="F33" s="200"/>
      <c r="G33" s="200"/>
      <c r="H33" s="201">
        <f>66150.348+5256.24+2217.94</f>
        <v>73624.528000000006</v>
      </c>
      <c r="I33" s="200">
        <v>2000</v>
      </c>
      <c r="J33" s="200"/>
      <c r="K33" s="200">
        <v>13748.473</v>
      </c>
      <c r="L33" s="200"/>
      <c r="M33" s="202">
        <f t="shared" si="0"/>
        <v>89373.001000000004</v>
      </c>
      <c r="N33" s="64">
        <v>96284</v>
      </c>
    </row>
    <row r="34" spans="1:14" x14ac:dyDescent="0.25">
      <c r="A34" s="62">
        <v>32</v>
      </c>
      <c r="B34" s="62" t="s">
        <v>241</v>
      </c>
      <c r="C34" s="63" t="s">
        <v>261</v>
      </c>
      <c r="D34" s="200"/>
      <c r="E34" s="200"/>
      <c r="F34" s="200"/>
      <c r="G34" s="200"/>
      <c r="H34" s="201">
        <f>4108.87+856</f>
        <v>4964.87</v>
      </c>
      <c r="I34" s="200"/>
      <c r="J34" s="200"/>
      <c r="K34" s="200">
        <v>3923</v>
      </c>
      <c r="L34" s="200"/>
      <c r="M34" s="202">
        <f t="shared" si="0"/>
        <v>8887.869999999999</v>
      </c>
      <c r="N34" s="64"/>
    </row>
    <row r="35" spans="1:14" x14ac:dyDescent="0.25">
      <c r="A35" s="62">
        <v>33</v>
      </c>
      <c r="B35" s="62" t="s">
        <v>241</v>
      </c>
      <c r="C35" s="63" t="s">
        <v>262</v>
      </c>
      <c r="D35" s="200"/>
      <c r="E35" s="200"/>
      <c r="F35" s="200"/>
      <c r="G35" s="200"/>
      <c r="H35" s="201">
        <v>8645</v>
      </c>
      <c r="I35" s="200"/>
      <c r="J35" s="200"/>
      <c r="K35" s="200"/>
      <c r="L35" s="200"/>
      <c r="M35" s="202">
        <f t="shared" si="0"/>
        <v>8645</v>
      </c>
      <c r="N35" s="64">
        <v>14326</v>
      </c>
    </row>
    <row r="36" spans="1:14" x14ac:dyDescent="0.25">
      <c r="A36" s="62">
        <v>34</v>
      </c>
      <c r="B36" s="62" t="s">
        <v>241</v>
      </c>
      <c r="C36" s="63" t="s">
        <v>263</v>
      </c>
      <c r="D36" s="200"/>
      <c r="E36" s="200"/>
      <c r="F36" s="200"/>
      <c r="G36" s="200"/>
      <c r="H36" s="201">
        <v>1400</v>
      </c>
      <c r="I36" s="200"/>
      <c r="J36" s="200"/>
      <c r="K36" s="200"/>
      <c r="L36" s="200"/>
      <c r="M36" s="202">
        <f t="shared" si="0"/>
        <v>1400</v>
      </c>
      <c r="N36" s="64">
        <v>3489</v>
      </c>
    </row>
    <row r="37" spans="1:14" x14ac:dyDescent="0.25">
      <c r="A37" s="62">
        <v>36</v>
      </c>
      <c r="B37" s="62" t="s">
        <v>241</v>
      </c>
      <c r="C37" s="63" t="s">
        <v>264</v>
      </c>
      <c r="D37" s="204">
        <f>18400+1400</f>
        <v>19800</v>
      </c>
      <c r="E37" s="200"/>
      <c r="F37" s="200"/>
      <c r="G37" s="200"/>
      <c r="H37" s="200">
        <v>412.3</v>
      </c>
      <c r="I37" s="200"/>
      <c r="J37" s="200"/>
      <c r="K37" s="200"/>
      <c r="L37" s="200"/>
      <c r="M37" s="202">
        <f t="shared" si="0"/>
        <v>20212.3</v>
      </c>
      <c r="N37" s="64">
        <v>15391</v>
      </c>
    </row>
    <row r="38" spans="1:14" x14ac:dyDescent="0.25">
      <c r="A38" s="62">
        <v>37</v>
      </c>
      <c r="B38" s="62" t="s">
        <v>247</v>
      </c>
      <c r="C38" s="63" t="s">
        <v>265</v>
      </c>
      <c r="D38" s="201">
        <v>3050</v>
      </c>
      <c r="E38" s="200"/>
      <c r="F38" s="200"/>
      <c r="G38" s="200"/>
      <c r="H38" s="200"/>
      <c r="I38" s="200"/>
      <c r="J38" s="200"/>
      <c r="K38" s="200"/>
      <c r="L38" s="200"/>
      <c r="M38" s="202">
        <f t="shared" si="0"/>
        <v>3050</v>
      </c>
      <c r="N38" s="64"/>
    </row>
    <row r="39" spans="1:14" x14ac:dyDescent="0.25">
      <c r="A39" s="62"/>
      <c r="B39" s="62" t="s">
        <v>247</v>
      </c>
      <c r="C39" s="63" t="s">
        <v>527</v>
      </c>
      <c r="D39" s="201">
        <v>100</v>
      </c>
      <c r="E39" s="200"/>
      <c r="F39" s="200"/>
      <c r="G39" s="200"/>
      <c r="H39" s="200"/>
      <c r="I39" s="200"/>
      <c r="J39" s="200"/>
      <c r="K39" s="200"/>
      <c r="L39" s="200"/>
      <c r="M39" s="202">
        <f t="shared" si="0"/>
        <v>100</v>
      </c>
      <c r="N39" s="64"/>
    </row>
    <row r="40" spans="1:14" x14ac:dyDescent="0.25">
      <c r="A40" s="62">
        <v>39</v>
      </c>
      <c r="B40" s="62" t="s">
        <v>241</v>
      </c>
      <c r="C40" s="63" t="s">
        <v>368</v>
      </c>
      <c r="D40" s="201"/>
      <c r="E40" s="200"/>
      <c r="F40" s="200"/>
      <c r="G40" s="200"/>
      <c r="H40" s="200"/>
      <c r="I40" s="200"/>
      <c r="J40" s="200"/>
      <c r="K40" s="200"/>
      <c r="L40" s="200"/>
      <c r="M40" s="202">
        <f t="shared" si="0"/>
        <v>0</v>
      </c>
      <c r="N40" s="64"/>
    </row>
    <row r="41" spans="1:14" x14ac:dyDescent="0.25">
      <c r="A41" s="62">
        <v>40</v>
      </c>
      <c r="B41" s="62" t="s">
        <v>247</v>
      </c>
      <c r="C41" s="63" t="s">
        <v>368</v>
      </c>
      <c r="D41" s="201"/>
      <c r="E41" s="200"/>
      <c r="F41" s="200"/>
      <c r="G41" s="200"/>
      <c r="H41" s="200"/>
      <c r="I41" s="200"/>
      <c r="J41" s="200"/>
      <c r="K41" s="200">
        <f>62806.727+803.775+1490.169</f>
        <v>65100.671000000002</v>
      </c>
      <c r="L41" s="200"/>
      <c r="M41" s="202">
        <f t="shared" si="0"/>
        <v>65100.671000000002</v>
      </c>
      <c r="N41" s="64"/>
    </row>
    <row r="42" spans="1:14" x14ac:dyDescent="0.25">
      <c r="A42" s="62">
        <v>41</v>
      </c>
      <c r="B42" s="107" t="s">
        <v>247</v>
      </c>
      <c r="C42" s="108" t="s">
        <v>486</v>
      </c>
      <c r="D42" s="201"/>
      <c r="E42" s="200"/>
      <c r="F42" s="200"/>
      <c r="G42" s="200"/>
      <c r="H42" s="200">
        <v>929.65</v>
      </c>
      <c r="I42" s="200">
        <f>48206.528-929.65</f>
        <v>47276.877999999997</v>
      </c>
      <c r="J42" s="200"/>
      <c r="K42" s="200">
        <v>48126.533000000003</v>
      </c>
      <c r="L42" s="200"/>
      <c r="M42" s="202">
        <f t="shared" si="0"/>
        <v>96333.061000000002</v>
      </c>
      <c r="N42" s="64"/>
    </row>
    <row r="43" spans="1:14" x14ac:dyDescent="0.25">
      <c r="A43" s="62">
        <v>42</v>
      </c>
      <c r="B43" s="107" t="s">
        <v>247</v>
      </c>
      <c r="C43" s="108" t="s">
        <v>487</v>
      </c>
      <c r="D43" s="201"/>
      <c r="E43" s="200"/>
      <c r="F43" s="200"/>
      <c r="G43" s="200"/>
      <c r="H43" s="200">
        <v>427.5</v>
      </c>
      <c r="I43" s="200">
        <v>37508.654000000002</v>
      </c>
      <c r="J43" s="200"/>
      <c r="K43" s="200">
        <v>2260.846</v>
      </c>
      <c r="L43" s="200"/>
      <c r="M43" s="202">
        <f t="shared" si="0"/>
        <v>40197</v>
      </c>
      <c r="N43" s="64"/>
    </row>
    <row r="44" spans="1:14" x14ac:dyDescent="0.25">
      <c r="A44" s="62">
        <v>43</v>
      </c>
      <c r="B44" s="107" t="s">
        <v>247</v>
      </c>
      <c r="C44" s="108" t="s">
        <v>499</v>
      </c>
      <c r="D44" s="201"/>
      <c r="E44" s="200"/>
      <c r="F44" s="200"/>
      <c r="G44" s="200"/>
      <c r="H44" s="200">
        <v>7261.8</v>
      </c>
      <c r="I44" s="200"/>
      <c r="J44" s="200"/>
      <c r="K44" s="200">
        <v>7906.201</v>
      </c>
      <c r="L44" s="200"/>
      <c r="M44" s="202">
        <f t="shared" si="0"/>
        <v>15168.001</v>
      </c>
      <c r="N44" s="64"/>
    </row>
    <row r="45" spans="1:14" x14ac:dyDescent="0.25">
      <c r="A45" s="62">
        <v>44</v>
      </c>
      <c r="B45" s="107" t="s">
        <v>247</v>
      </c>
      <c r="C45" s="108" t="s">
        <v>500</v>
      </c>
      <c r="D45" s="201"/>
      <c r="E45" s="200"/>
      <c r="F45" s="200"/>
      <c r="G45" s="200"/>
      <c r="H45" s="200">
        <v>6736.3</v>
      </c>
      <c r="I45" s="200"/>
      <c r="J45" s="200"/>
      <c r="K45" s="200">
        <v>7301.1790000000001</v>
      </c>
      <c r="L45" s="200"/>
      <c r="M45" s="202">
        <f t="shared" si="0"/>
        <v>14037.478999999999</v>
      </c>
      <c r="N45" s="64"/>
    </row>
    <row r="46" spans="1:14" x14ac:dyDescent="0.25">
      <c r="A46" s="62">
        <v>45</v>
      </c>
      <c r="B46" s="107" t="s">
        <v>247</v>
      </c>
      <c r="C46" s="108" t="s">
        <v>501</v>
      </c>
      <c r="D46" s="201"/>
      <c r="E46" s="200"/>
      <c r="F46" s="200"/>
      <c r="G46" s="200"/>
      <c r="H46" s="200"/>
      <c r="I46" s="200"/>
      <c r="J46" s="200"/>
      <c r="K46" s="200">
        <v>3496.509</v>
      </c>
      <c r="L46" s="200"/>
      <c r="M46" s="202">
        <f t="shared" si="0"/>
        <v>3496.509</v>
      </c>
      <c r="N46" s="64"/>
    </row>
    <row r="47" spans="1:14" x14ac:dyDescent="0.25">
      <c r="A47" s="62">
        <v>46</v>
      </c>
      <c r="B47" s="62" t="s">
        <v>247</v>
      </c>
      <c r="C47" s="108" t="s">
        <v>374</v>
      </c>
      <c r="D47" s="201"/>
      <c r="E47" s="200"/>
      <c r="F47" s="200"/>
      <c r="G47" s="200"/>
      <c r="H47" s="200"/>
      <c r="I47" s="200"/>
      <c r="J47" s="200"/>
      <c r="K47" s="200">
        <v>25322.852999999999</v>
      </c>
      <c r="L47" s="200"/>
      <c r="M47" s="202">
        <f t="shared" si="0"/>
        <v>25322.852999999999</v>
      </c>
      <c r="N47" s="64"/>
    </row>
    <row r="48" spans="1:14" x14ac:dyDescent="0.25">
      <c r="A48" s="62">
        <v>47</v>
      </c>
      <c r="B48" s="62" t="s">
        <v>247</v>
      </c>
      <c r="C48" s="108" t="s">
        <v>375</v>
      </c>
      <c r="D48" s="201"/>
      <c r="E48" s="200"/>
      <c r="F48" s="200"/>
      <c r="G48" s="200"/>
      <c r="H48" s="200"/>
      <c r="I48" s="200"/>
      <c r="J48" s="200"/>
      <c r="K48" s="200">
        <v>203703.33100000001</v>
      </c>
      <c r="L48" s="200"/>
      <c r="M48" s="202">
        <f t="shared" si="0"/>
        <v>203703.33100000001</v>
      </c>
      <c r="N48" s="64"/>
    </row>
    <row r="49" spans="1:14" x14ac:dyDescent="0.25">
      <c r="A49" s="62">
        <v>48</v>
      </c>
      <c r="B49" s="62" t="s">
        <v>247</v>
      </c>
      <c r="C49" s="108" t="s">
        <v>376</v>
      </c>
      <c r="D49" s="201"/>
      <c r="E49" s="200"/>
      <c r="F49" s="200"/>
      <c r="G49" s="200"/>
      <c r="H49" s="200"/>
      <c r="I49" s="200"/>
      <c r="J49" s="200"/>
      <c r="K49" s="200">
        <v>35359.459000000003</v>
      </c>
      <c r="L49" s="200"/>
      <c r="M49" s="202">
        <f t="shared" si="0"/>
        <v>35359.459000000003</v>
      </c>
      <c r="N49" s="64"/>
    </row>
    <row r="50" spans="1:14" x14ac:dyDescent="0.25">
      <c r="A50" s="62">
        <v>49</v>
      </c>
      <c r="B50" s="107" t="s">
        <v>247</v>
      </c>
      <c r="C50" s="108" t="s">
        <v>520</v>
      </c>
      <c r="D50" s="201"/>
      <c r="E50" s="200"/>
      <c r="F50" s="200"/>
      <c r="G50" s="200"/>
      <c r="H50" s="200"/>
      <c r="I50" s="200"/>
      <c r="J50" s="200"/>
      <c r="K50" s="200">
        <v>170755.818</v>
      </c>
      <c r="L50" s="200"/>
      <c r="M50" s="202">
        <f t="shared" si="0"/>
        <v>170755.818</v>
      </c>
      <c r="N50" s="64"/>
    </row>
    <row r="51" spans="1:14" x14ac:dyDescent="0.25">
      <c r="A51" s="62">
        <v>50</v>
      </c>
      <c r="B51" s="107" t="s">
        <v>247</v>
      </c>
      <c r="C51" s="108" t="s">
        <v>378</v>
      </c>
      <c r="D51" s="201"/>
      <c r="E51" s="200"/>
      <c r="F51" s="200"/>
      <c r="G51" s="200"/>
      <c r="H51" s="200"/>
      <c r="I51" s="200"/>
      <c r="J51" s="200"/>
      <c r="K51" s="200">
        <v>42793.487999999998</v>
      </c>
      <c r="L51" s="200"/>
      <c r="M51" s="202">
        <f t="shared" si="0"/>
        <v>42793.487999999998</v>
      </c>
      <c r="N51" s="64"/>
    </row>
    <row r="52" spans="1:14" x14ac:dyDescent="0.25">
      <c r="A52" s="62">
        <v>51</v>
      </c>
      <c r="B52" s="107" t="s">
        <v>247</v>
      </c>
      <c r="C52" s="108" t="s">
        <v>498</v>
      </c>
      <c r="D52" s="201"/>
      <c r="E52" s="200"/>
      <c r="F52" s="200"/>
      <c r="G52" s="200"/>
      <c r="H52" s="200"/>
      <c r="I52" s="200"/>
      <c r="J52" s="200"/>
      <c r="K52" s="200">
        <v>19470.075000000001</v>
      </c>
      <c r="L52" s="200"/>
      <c r="M52" s="202">
        <f t="shared" si="0"/>
        <v>19470.075000000001</v>
      </c>
      <c r="N52" s="64"/>
    </row>
    <row r="53" spans="1:14" x14ac:dyDescent="0.25">
      <c r="A53" s="62"/>
      <c r="B53" s="107" t="s">
        <v>247</v>
      </c>
      <c r="C53" s="108" t="s">
        <v>529</v>
      </c>
      <c r="D53" s="201"/>
      <c r="E53" s="200"/>
      <c r="F53" s="200"/>
      <c r="G53" s="200"/>
      <c r="H53" s="200"/>
      <c r="I53" s="200">
        <v>15345</v>
      </c>
      <c r="J53" s="200"/>
      <c r="K53" s="200"/>
      <c r="L53" s="200"/>
      <c r="M53" s="324">
        <f t="shared" si="0"/>
        <v>15345</v>
      </c>
      <c r="N53" s="64"/>
    </row>
    <row r="54" spans="1:14" x14ac:dyDescent="0.25">
      <c r="A54" s="62"/>
      <c r="B54" s="62" t="s">
        <v>247</v>
      </c>
      <c r="C54" s="108" t="s">
        <v>553</v>
      </c>
      <c r="D54" s="201"/>
      <c r="E54" s="200"/>
      <c r="F54" s="200"/>
      <c r="G54" s="200"/>
      <c r="H54" s="200"/>
      <c r="I54" s="200">
        <v>300</v>
      </c>
      <c r="J54" s="200"/>
      <c r="K54" s="200"/>
      <c r="L54" s="200"/>
      <c r="M54" s="324">
        <f t="shared" si="0"/>
        <v>300</v>
      </c>
      <c r="N54" s="64"/>
    </row>
    <row r="55" spans="1:14" x14ac:dyDescent="0.25">
      <c r="A55" s="62"/>
      <c r="B55" s="62" t="s">
        <v>247</v>
      </c>
      <c r="C55" s="108" t="s">
        <v>554</v>
      </c>
      <c r="D55" s="201"/>
      <c r="E55" s="200"/>
      <c r="F55" s="200"/>
      <c r="G55" s="200"/>
      <c r="H55" s="200"/>
      <c r="I55" s="200">
        <v>481.8</v>
      </c>
      <c r="J55" s="200"/>
      <c r="K55" s="200"/>
      <c r="L55" s="200"/>
      <c r="M55" s="324">
        <f t="shared" si="0"/>
        <v>481.8</v>
      </c>
      <c r="N55" s="64"/>
    </row>
    <row r="56" spans="1:14" x14ac:dyDescent="0.25">
      <c r="A56" s="62"/>
      <c r="B56" s="62" t="s">
        <v>247</v>
      </c>
      <c r="C56" s="108" t="s">
        <v>555</v>
      </c>
      <c r="D56" s="201"/>
      <c r="E56" s="200"/>
      <c r="F56" s="200"/>
      <c r="G56" s="200"/>
      <c r="H56" s="200"/>
      <c r="I56" s="200">
        <v>2000</v>
      </c>
      <c r="J56" s="200"/>
      <c r="K56" s="200"/>
      <c r="L56" s="200"/>
      <c r="M56" s="324">
        <f t="shared" si="0"/>
        <v>2000</v>
      </c>
      <c r="N56" s="64"/>
    </row>
    <row r="57" spans="1:14" x14ac:dyDescent="0.25">
      <c r="A57" s="62"/>
      <c r="B57" s="62" t="s">
        <v>247</v>
      </c>
      <c r="C57" s="108" t="s">
        <v>556</v>
      </c>
      <c r="D57" s="201"/>
      <c r="E57" s="200"/>
      <c r="F57" s="200"/>
      <c r="G57" s="200"/>
      <c r="H57" s="200"/>
      <c r="I57" s="200">
        <v>1417.441</v>
      </c>
      <c r="J57" s="200"/>
      <c r="K57" s="200"/>
      <c r="L57" s="200"/>
      <c r="M57" s="324">
        <f t="shared" si="0"/>
        <v>1417.441</v>
      </c>
      <c r="N57" s="64"/>
    </row>
    <row r="58" spans="1:14" x14ac:dyDescent="0.25">
      <c r="A58" s="62"/>
      <c r="B58" s="62" t="s">
        <v>247</v>
      </c>
      <c r="C58" s="108" t="s">
        <v>557</v>
      </c>
      <c r="D58" s="201"/>
      <c r="E58" s="200"/>
      <c r="F58" s="200"/>
      <c r="G58" s="200"/>
      <c r="H58" s="200"/>
      <c r="I58" s="200">
        <v>1759.077</v>
      </c>
      <c r="J58" s="200"/>
      <c r="K58" s="200"/>
      <c r="L58" s="200"/>
      <c r="M58" s="324">
        <f t="shared" si="0"/>
        <v>1759.077</v>
      </c>
      <c r="N58" s="64"/>
    </row>
    <row r="59" spans="1:14" x14ac:dyDescent="0.25">
      <c r="A59" s="62"/>
      <c r="B59" s="62" t="s">
        <v>247</v>
      </c>
      <c r="C59" s="108" t="s">
        <v>558</v>
      </c>
      <c r="D59" s="201"/>
      <c r="E59" s="200"/>
      <c r="F59" s="200"/>
      <c r="G59" s="200"/>
      <c r="H59" s="200"/>
      <c r="I59" s="200">
        <v>1592</v>
      </c>
      <c r="J59" s="200"/>
      <c r="K59" s="200"/>
      <c r="L59" s="200"/>
      <c r="M59" s="324">
        <f t="shared" si="0"/>
        <v>1592</v>
      </c>
      <c r="N59" s="64"/>
    </row>
    <row r="60" spans="1:14" x14ac:dyDescent="0.25">
      <c r="A60" s="62"/>
      <c r="B60" s="62" t="s">
        <v>247</v>
      </c>
      <c r="C60" s="108" t="s">
        <v>559</v>
      </c>
      <c r="D60" s="201"/>
      <c r="E60" s="200"/>
      <c r="F60" s="200"/>
      <c r="G60" s="200"/>
      <c r="H60" s="200"/>
      <c r="I60" s="200">
        <v>2882.1</v>
      </c>
      <c r="J60" s="200"/>
      <c r="K60" s="200"/>
      <c r="L60" s="200"/>
      <c r="M60" s="324">
        <f t="shared" si="0"/>
        <v>2882.1</v>
      </c>
      <c r="N60" s="64"/>
    </row>
    <row r="61" spans="1:14" x14ac:dyDescent="0.25">
      <c r="A61" s="62"/>
      <c r="B61" s="62" t="s">
        <v>247</v>
      </c>
      <c r="C61" s="108" t="s">
        <v>560</v>
      </c>
      <c r="D61" s="201"/>
      <c r="E61" s="200"/>
      <c r="F61" s="200"/>
      <c r="G61" s="200"/>
      <c r="H61" s="200">
        <v>5475.56</v>
      </c>
      <c r="I61" s="200">
        <v>5000</v>
      </c>
      <c r="J61" s="200"/>
      <c r="K61" s="200"/>
      <c r="L61" s="200"/>
      <c r="M61" s="324">
        <f t="shared" si="0"/>
        <v>10475.560000000001</v>
      </c>
      <c r="N61" s="64"/>
    </row>
    <row r="62" spans="1:14" x14ac:dyDescent="0.25">
      <c r="A62" s="62">
        <v>52</v>
      </c>
      <c r="B62" s="62" t="s">
        <v>241</v>
      </c>
      <c r="C62" s="63" t="s">
        <v>266</v>
      </c>
      <c r="D62" s="201">
        <v>917</v>
      </c>
      <c r="E62" s="200"/>
      <c r="F62" s="200"/>
      <c r="G62" s="200"/>
      <c r="H62" s="200"/>
      <c r="I62" s="200"/>
      <c r="J62" s="200"/>
      <c r="K62" s="200"/>
      <c r="L62" s="200"/>
      <c r="M62" s="202">
        <f t="shared" si="0"/>
        <v>917</v>
      </c>
      <c r="N62" s="64">
        <v>3135</v>
      </c>
    </row>
    <row r="63" spans="1:14" x14ac:dyDescent="0.25">
      <c r="A63" s="62">
        <v>53</v>
      </c>
      <c r="B63" s="177" t="s">
        <v>241</v>
      </c>
      <c r="C63" s="63" t="s">
        <v>267</v>
      </c>
      <c r="D63" s="201">
        <v>5950</v>
      </c>
      <c r="E63" s="200"/>
      <c r="F63" s="200"/>
      <c r="G63" s="200"/>
      <c r="H63" s="200"/>
      <c r="I63" s="200"/>
      <c r="J63" s="200"/>
      <c r="K63" s="200"/>
      <c r="L63" s="200"/>
      <c r="M63" s="202">
        <f t="shared" si="0"/>
        <v>5950</v>
      </c>
      <c r="N63" s="64">
        <v>5290</v>
      </c>
    </row>
    <row r="64" spans="1:14" ht="15.75" x14ac:dyDescent="0.25">
      <c r="A64" s="62">
        <v>54</v>
      </c>
      <c r="B64" s="62"/>
      <c r="C64" s="173" t="s">
        <v>268</v>
      </c>
      <c r="D64" s="202">
        <f t="shared" ref="D64:L64" si="1">SUM(D6:D63)</f>
        <v>29817</v>
      </c>
      <c r="E64" s="202">
        <f t="shared" si="1"/>
        <v>118432</v>
      </c>
      <c r="F64" s="202">
        <f t="shared" si="1"/>
        <v>289048.07000000007</v>
      </c>
      <c r="G64" s="202">
        <f t="shared" si="1"/>
        <v>0</v>
      </c>
      <c r="H64" s="202">
        <f t="shared" si="1"/>
        <v>109877.508</v>
      </c>
      <c r="I64" s="202">
        <f t="shared" si="1"/>
        <v>117562.95000000003</v>
      </c>
      <c r="J64" s="202">
        <f t="shared" si="1"/>
        <v>0</v>
      </c>
      <c r="K64" s="202">
        <f t="shared" si="1"/>
        <v>649268.43599999999</v>
      </c>
      <c r="L64" s="202">
        <f t="shared" si="1"/>
        <v>0</v>
      </c>
      <c r="M64" s="202">
        <f>SUM(M6:M63)</f>
        <v>1314005.9640000004</v>
      </c>
      <c r="N64" s="64"/>
    </row>
    <row r="65" spans="1:17" x14ac:dyDescent="0.25">
      <c r="A65" s="62">
        <v>55</v>
      </c>
      <c r="B65" s="62"/>
      <c r="C65" s="171" t="s">
        <v>269</v>
      </c>
      <c r="D65" s="206">
        <f t="shared" ref="D65:L65" si="2">SUMIF($B6:$B63,"kötelező",D6:D63)</f>
        <v>26667</v>
      </c>
      <c r="E65" s="206">
        <f>SUMIF($B6:$B63,"kötelező",E6:E63)-22059.352</f>
        <v>96372.648000000001</v>
      </c>
      <c r="F65" s="206">
        <f>SUMIF($B6:$B63,"kötelező",F6:F63)-7408</f>
        <v>245675.07</v>
      </c>
      <c r="G65" s="206">
        <f t="shared" si="2"/>
        <v>0</v>
      </c>
      <c r="H65" s="206">
        <f t="shared" si="2"/>
        <v>89046.698000000004</v>
      </c>
      <c r="I65" s="206">
        <f t="shared" si="2"/>
        <v>2000</v>
      </c>
      <c r="J65" s="206">
        <f t="shared" si="2"/>
        <v>0</v>
      </c>
      <c r="K65" s="206">
        <f t="shared" si="2"/>
        <v>17671.472999999998</v>
      </c>
      <c r="L65" s="206">
        <f t="shared" si="2"/>
        <v>0</v>
      </c>
      <c r="M65" s="206">
        <f>SUMIF($B6:$B63,"kötelező",M6:M63)-7408-22059.352</f>
        <v>477432.88900000002</v>
      </c>
    </row>
    <row r="66" spans="1:17" x14ac:dyDescent="0.25">
      <c r="A66" s="62">
        <v>56</v>
      </c>
      <c r="B66" s="62"/>
      <c r="C66" s="171" t="s">
        <v>345</v>
      </c>
      <c r="D66" s="206"/>
      <c r="E66" s="206"/>
      <c r="F66" s="206">
        <v>7408</v>
      </c>
      <c r="G66" s="206"/>
      <c r="H66" s="206"/>
      <c r="I66" s="206"/>
      <c r="J66" s="206"/>
      <c r="K66" s="206"/>
      <c r="L66" s="206"/>
      <c r="M66" s="206">
        <v>7408</v>
      </c>
    </row>
    <row r="67" spans="1:17" x14ac:dyDescent="0.25">
      <c r="A67" s="62">
        <v>57</v>
      </c>
      <c r="B67" s="171"/>
      <c r="C67" s="171" t="s">
        <v>270</v>
      </c>
      <c r="D67" s="206">
        <f t="shared" ref="D67:L67" si="3">SUMIF($B6:$B63,"nem kötelező",D6:D63)</f>
        <v>3150</v>
      </c>
      <c r="E67" s="206">
        <v>22059.351999999999</v>
      </c>
      <c r="F67" s="206">
        <f t="shared" si="3"/>
        <v>35965</v>
      </c>
      <c r="G67" s="206">
        <f t="shared" si="3"/>
        <v>0</v>
      </c>
      <c r="H67" s="206">
        <f t="shared" si="3"/>
        <v>20830.810000000001</v>
      </c>
      <c r="I67" s="206">
        <f t="shared" si="3"/>
        <v>115562.95000000003</v>
      </c>
      <c r="J67" s="206">
        <f t="shared" si="3"/>
        <v>0</v>
      </c>
      <c r="K67" s="206">
        <f t="shared" si="3"/>
        <v>631596.96299999999</v>
      </c>
      <c r="L67" s="206">
        <f t="shared" si="3"/>
        <v>0</v>
      </c>
      <c r="M67" s="206">
        <f>SUMIF($B6:$B63,"nem kötelező",M6:M63)+22059.352</f>
        <v>829165.07500000007</v>
      </c>
      <c r="N67" s="64"/>
    </row>
    <row r="68" spans="1:17" s="182" customFormat="1" x14ac:dyDescent="0.25">
      <c r="A68" s="62">
        <v>58</v>
      </c>
      <c r="B68" s="178"/>
      <c r="C68" s="179" t="s">
        <v>355</v>
      </c>
      <c r="D68" s="207">
        <f>SUM(D69:D71)</f>
        <v>345</v>
      </c>
      <c r="E68" s="207">
        <f>SUM(E69:E71)</f>
        <v>0</v>
      </c>
      <c r="F68" s="207">
        <f t="shared" ref="F68:M68" si="4">SUM(F69:F71)</f>
        <v>0</v>
      </c>
      <c r="G68" s="207"/>
      <c r="H68" s="207">
        <f t="shared" si="4"/>
        <v>0</v>
      </c>
      <c r="I68" s="207">
        <f t="shared" si="4"/>
        <v>0</v>
      </c>
      <c r="J68" s="207">
        <f t="shared" si="4"/>
        <v>0</v>
      </c>
      <c r="K68" s="207">
        <f t="shared" si="4"/>
        <v>0</v>
      </c>
      <c r="L68" s="207">
        <f t="shared" si="4"/>
        <v>0</v>
      </c>
      <c r="M68" s="207">
        <f t="shared" si="4"/>
        <v>345</v>
      </c>
      <c r="N68" s="180"/>
      <c r="O68" s="180"/>
      <c r="P68" s="181"/>
      <c r="Q68" s="181"/>
    </row>
    <row r="69" spans="1:17" x14ac:dyDescent="0.25">
      <c r="A69" s="62">
        <v>59</v>
      </c>
      <c r="B69" s="62" t="s">
        <v>241</v>
      </c>
      <c r="C69" s="183" t="s">
        <v>271</v>
      </c>
      <c r="D69" s="208">
        <v>345</v>
      </c>
      <c r="E69" s="208"/>
      <c r="F69" s="208"/>
      <c r="G69" s="208"/>
      <c r="H69" s="208"/>
      <c r="I69" s="208"/>
      <c r="J69" s="208"/>
      <c r="K69" s="208"/>
      <c r="L69" s="208"/>
      <c r="M69" s="205">
        <f>D69+E69+F69+H69+I69+J69+L69</f>
        <v>345</v>
      </c>
      <c r="N69" s="184"/>
      <c r="O69" s="184"/>
      <c r="P69" s="181"/>
      <c r="Q69" s="181"/>
    </row>
    <row r="70" spans="1:17" x14ac:dyDescent="0.25">
      <c r="A70" s="62">
        <v>60</v>
      </c>
      <c r="B70" s="62" t="s">
        <v>247</v>
      </c>
      <c r="C70" s="183" t="s">
        <v>272</v>
      </c>
      <c r="D70" s="208"/>
      <c r="E70" s="208"/>
      <c r="F70" s="208"/>
      <c r="G70" s="208"/>
      <c r="H70" s="208"/>
      <c r="I70" s="208"/>
      <c r="J70" s="208"/>
      <c r="K70" s="208"/>
      <c r="L70" s="208"/>
      <c r="M70" s="208"/>
      <c r="N70" s="184"/>
      <c r="O70" s="184"/>
      <c r="P70" s="181"/>
      <c r="Q70" s="181"/>
    </row>
    <row r="71" spans="1:17" x14ac:dyDescent="0.25">
      <c r="A71" s="62">
        <v>61</v>
      </c>
      <c r="B71" s="62" t="s">
        <v>354</v>
      </c>
      <c r="C71" s="183" t="s">
        <v>345</v>
      </c>
      <c r="D71" s="208"/>
      <c r="E71" s="208"/>
      <c r="F71" s="208"/>
      <c r="G71" s="208"/>
      <c r="H71" s="208"/>
      <c r="I71" s="208"/>
      <c r="J71" s="208"/>
      <c r="K71" s="208"/>
      <c r="L71" s="208"/>
      <c r="M71" s="208"/>
      <c r="N71" s="184"/>
      <c r="O71" s="184"/>
      <c r="P71" s="181"/>
      <c r="Q71" s="181"/>
    </row>
    <row r="72" spans="1:17" s="182" customFormat="1" x14ac:dyDescent="0.25">
      <c r="A72" s="62">
        <v>62</v>
      </c>
      <c r="B72" s="178"/>
      <c r="C72" s="179" t="s">
        <v>273</v>
      </c>
      <c r="D72" s="207">
        <f>SUM(D73:D74)</f>
        <v>6.5</v>
      </c>
      <c r="E72" s="207">
        <f t="shared" ref="E72:L72" si="5">SUM(E73:E74)</f>
        <v>0</v>
      </c>
      <c r="F72" s="207">
        <f t="shared" si="5"/>
        <v>0</v>
      </c>
      <c r="G72" s="207">
        <f t="shared" si="5"/>
        <v>0</v>
      </c>
      <c r="H72" s="207">
        <f t="shared" si="5"/>
        <v>0</v>
      </c>
      <c r="I72" s="207">
        <f t="shared" si="5"/>
        <v>0</v>
      </c>
      <c r="J72" s="207">
        <f t="shared" si="5"/>
        <v>0</v>
      </c>
      <c r="K72" s="207">
        <f t="shared" si="5"/>
        <v>0</v>
      </c>
      <c r="L72" s="207">
        <f t="shared" si="5"/>
        <v>0</v>
      </c>
      <c r="M72" s="207">
        <f>SUM(M73:M74)</f>
        <v>6.5</v>
      </c>
      <c r="N72" s="180"/>
      <c r="O72" s="180"/>
      <c r="P72" s="181"/>
      <c r="Q72" s="181"/>
    </row>
    <row r="73" spans="1:17" x14ac:dyDescent="0.25">
      <c r="A73" s="62">
        <v>63</v>
      </c>
      <c r="B73" s="62" t="s">
        <v>241</v>
      </c>
      <c r="C73" s="183" t="s">
        <v>271</v>
      </c>
      <c r="D73" s="208">
        <v>6.5</v>
      </c>
      <c r="E73" s="208"/>
      <c r="F73" s="208"/>
      <c r="G73" s="208"/>
      <c r="H73" s="208"/>
      <c r="I73" s="208"/>
      <c r="J73" s="208"/>
      <c r="K73" s="208"/>
      <c r="L73" s="208"/>
      <c r="M73" s="208">
        <f>D73+E73+F73+G73+H73+I73+J73+L73+K73</f>
        <v>6.5</v>
      </c>
      <c r="N73" s="184"/>
      <c r="O73" s="184"/>
      <c r="P73" s="181"/>
      <c r="Q73" s="181"/>
    </row>
    <row r="74" spans="1:17" x14ac:dyDescent="0.25">
      <c r="A74" s="62">
        <v>64</v>
      </c>
      <c r="B74" s="62" t="s">
        <v>247</v>
      </c>
      <c r="C74" s="183" t="s">
        <v>272</v>
      </c>
      <c r="D74" s="208"/>
      <c r="E74" s="208"/>
      <c r="F74" s="208"/>
      <c r="G74" s="208"/>
      <c r="H74" s="208"/>
      <c r="I74" s="208"/>
      <c r="J74" s="208"/>
      <c r="K74" s="208"/>
      <c r="L74" s="208"/>
      <c r="M74" s="208">
        <f>D74+E74+F74+G74+H74+I74+J74+L74+K74</f>
        <v>0</v>
      </c>
      <c r="N74" s="184"/>
      <c r="O74" s="184"/>
      <c r="P74" s="181"/>
      <c r="Q74" s="181"/>
    </row>
    <row r="75" spans="1:17" s="182" customFormat="1" x14ac:dyDescent="0.25">
      <c r="A75" s="62">
        <v>65</v>
      </c>
      <c r="B75" s="178"/>
      <c r="C75" s="179" t="s">
        <v>274</v>
      </c>
      <c r="D75" s="207">
        <f>D76+D77</f>
        <v>32099</v>
      </c>
      <c r="E75" s="207">
        <f t="shared" ref="E75:L75" si="6">E76+E77</f>
        <v>0</v>
      </c>
      <c r="F75" s="207">
        <f t="shared" si="6"/>
        <v>0</v>
      </c>
      <c r="G75" s="207">
        <f t="shared" si="6"/>
        <v>0</v>
      </c>
      <c r="H75" s="207">
        <f t="shared" si="6"/>
        <v>0</v>
      </c>
      <c r="I75" s="207">
        <f t="shared" si="6"/>
        <v>0</v>
      </c>
      <c r="J75" s="207">
        <f t="shared" si="6"/>
        <v>0</v>
      </c>
      <c r="K75" s="207">
        <f t="shared" si="6"/>
        <v>0</v>
      </c>
      <c r="L75" s="207">
        <f t="shared" si="6"/>
        <v>0</v>
      </c>
      <c r="M75" s="207">
        <f>SUM(M76:M77)</f>
        <v>32099</v>
      </c>
      <c r="N75" s="180"/>
      <c r="O75" s="180"/>
      <c r="P75" s="181"/>
      <c r="Q75" s="181"/>
    </row>
    <row r="76" spans="1:17" x14ac:dyDescent="0.25">
      <c r="A76" s="62">
        <v>66</v>
      </c>
      <c r="B76" s="62" t="s">
        <v>241</v>
      </c>
      <c r="C76" s="183" t="s">
        <v>271</v>
      </c>
      <c r="D76" s="208">
        <v>4369</v>
      </c>
      <c r="E76" s="208"/>
      <c r="F76" s="208"/>
      <c r="G76" s="208"/>
      <c r="H76" s="208"/>
      <c r="I76" s="208"/>
      <c r="J76" s="208"/>
      <c r="K76" s="208"/>
      <c r="L76" s="208"/>
      <c r="M76" s="205">
        <f>D76+E76+F76+H76+I76+J76+L76+K76</f>
        <v>4369</v>
      </c>
      <c r="N76" s="184"/>
      <c r="O76" s="184"/>
      <c r="P76" s="181"/>
      <c r="Q76" s="181"/>
    </row>
    <row r="77" spans="1:17" x14ac:dyDescent="0.25">
      <c r="A77" s="62">
        <v>67</v>
      </c>
      <c r="B77" s="62" t="s">
        <v>247</v>
      </c>
      <c r="C77" s="183" t="s">
        <v>272</v>
      </c>
      <c r="D77" s="208">
        <v>27730</v>
      </c>
      <c r="E77" s="208"/>
      <c r="F77" s="208"/>
      <c r="G77" s="208"/>
      <c r="H77" s="208"/>
      <c r="I77" s="208"/>
      <c r="J77" s="208"/>
      <c r="K77" s="208"/>
      <c r="L77" s="208"/>
      <c r="M77" s="205">
        <f>D77+E77+F77+H77+I77+J77+L77+K77</f>
        <v>27730</v>
      </c>
      <c r="N77" s="184"/>
      <c r="O77" s="184"/>
      <c r="P77" s="181"/>
      <c r="Q77" s="181"/>
    </row>
    <row r="78" spans="1:17" s="182" customFormat="1" x14ac:dyDescent="0.25">
      <c r="A78" s="62">
        <v>68</v>
      </c>
      <c r="B78" s="178"/>
      <c r="C78" s="179" t="s">
        <v>381</v>
      </c>
      <c r="D78" s="207">
        <f>SUM(D79:D80)</f>
        <v>4166</v>
      </c>
      <c r="E78" s="207">
        <f t="shared" ref="E78:L78" si="7">SUM(E79:E80)</f>
        <v>0</v>
      </c>
      <c r="F78" s="207">
        <f t="shared" si="7"/>
        <v>0</v>
      </c>
      <c r="G78" s="207">
        <f t="shared" si="7"/>
        <v>0</v>
      </c>
      <c r="H78" s="207">
        <f t="shared" si="7"/>
        <v>1705.9</v>
      </c>
      <c r="I78" s="207">
        <f t="shared" si="7"/>
        <v>0</v>
      </c>
      <c r="J78" s="207">
        <f t="shared" si="7"/>
        <v>258</v>
      </c>
      <c r="K78" s="207">
        <f t="shared" si="7"/>
        <v>10680.674000000001</v>
      </c>
      <c r="L78" s="207">
        <f t="shared" si="7"/>
        <v>0</v>
      </c>
      <c r="M78" s="207">
        <f>SUM(M79:M80)</f>
        <v>16810.574000000001</v>
      </c>
      <c r="N78" s="180"/>
      <c r="O78" s="180"/>
      <c r="P78" s="181"/>
      <c r="Q78" s="181"/>
    </row>
    <row r="79" spans="1:17" x14ac:dyDescent="0.25">
      <c r="A79" s="62">
        <v>69</v>
      </c>
      <c r="B79" s="62" t="s">
        <v>241</v>
      </c>
      <c r="C79" s="183" t="s">
        <v>271</v>
      </c>
      <c r="D79" s="208">
        <v>1255</v>
      </c>
      <c r="E79" s="208"/>
      <c r="F79" s="208"/>
      <c r="G79" s="208"/>
      <c r="H79" s="208">
        <v>1354.9</v>
      </c>
      <c r="I79" s="208"/>
      <c r="J79" s="208"/>
      <c r="K79" s="208"/>
      <c r="L79" s="208"/>
      <c r="M79" s="205">
        <f>SUM(D79:L79)</f>
        <v>2609.9</v>
      </c>
      <c r="N79" s="184"/>
      <c r="O79" s="184"/>
      <c r="P79" s="181"/>
      <c r="Q79" s="181"/>
    </row>
    <row r="80" spans="1:17" x14ac:dyDescent="0.25">
      <c r="A80" s="62">
        <v>70</v>
      </c>
      <c r="B80" s="62" t="s">
        <v>247</v>
      </c>
      <c r="C80" s="183" t="s">
        <v>272</v>
      </c>
      <c r="D80" s="208">
        <v>2911</v>
      </c>
      <c r="E80" s="208"/>
      <c r="F80" s="208"/>
      <c r="G80" s="208"/>
      <c r="H80" s="208">
        <v>351</v>
      </c>
      <c r="I80" s="208"/>
      <c r="J80" s="208">
        <v>258</v>
      </c>
      <c r="K80" s="208">
        <v>10680.674000000001</v>
      </c>
      <c r="L80" s="208"/>
      <c r="M80" s="205">
        <f>SUM(D80:L80)</f>
        <v>14200.674000000001</v>
      </c>
      <c r="N80" s="184"/>
      <c r="O80" s="184"/>
      <c r="P80" s="181"/>
      <c r="Q80" s="181"/>
    </row>
    <row r="81" spans="1:17" x14ac:dyDescent="0.25">
      <c r="A81" s="62">
        <v>71</v>
      </c>
      <c r="B81" s="62"/>
      <c r="C81" s="183"/>
      <c r="D81" s="208"/>
      <c r="E81" s="208"/>
      <c r="F81" s="208"/>
      <c r="G81" s="208"/>
      <c r="H81" s="208"/>
      <c r="I81" s="208"/>
      <c r="J81" s="208"/>
      <c r="K81" s="208"/>
      <c r="L81" s="208"/>
      <c r="M81" s="205"/>
      <c r="N81" s="184"/>
      <c r="O81" s="184"/>
      <c r="P81" s="181"/>
      <c r="Q81" s="181"/>
    </row>
    <row r="82" spans="1:17" s="182" customFormat="1" ht="15.75" x14ac:dyDescent="0.25">
      <c r="A82" s="62">
        <v>72</v>
      </c>
      <c r="B82" s="178"/>
      <c r="C82" s="173" t="s">
        <v>275</v>
      </c>
      <c r="D82" s="207">
        <f>D68+D72+D75+D64+D78</f>
        <v>66433.5</v>
      </c>
      <c r="E82" s="207">
        <f t="shared" ref="E82:N82" si="8">E68+E72+E75+E64+E78</f>
        <v>118432</v>
      </c>
      <c r="F82" s="207">
        <f t="shared" si="8"/>
        <v>289048.07000000007</v>
      </c>
      <c r="G82" s="207"/>
      <c r="H82" s="207">
        <f t="shared" si="8"/>
        <v>111583.408</v>
      </c>
      <c r="I82" s="207">
        <f t="shared" si="8"/>
        <v>117562.95000000003</v>
      </c>
      <c r="J82" s="207">
        <f t="shared" si="8"/>
        <v>258</v>
      </c>
      <c r="K82" s="207">
        <f t="shared" si="8"/>
        <v>659949.11</v>
      </c>
      <c r="L82" s="207">
        <f t="shared" si="8"/>
        <v>0</v>
      </c>
      <c r="M82" s="207">
        <f t="shared" si="8"/>
        <v>1363267.0380000004</v>
      </c>
      <c r="N82" s="207">
        <f t="shared" si="8"/>
        <v>0</v>
      </c>
      <c r="O82" s="180"/>
      <c r="P82" s="181"/>
      <c r="Q82" s="181"/>
    </row>
    <row r="83" spans="1:17" s="182" customFormat="1" ht="15.75" x14ac:dyDescent="0.25">
      <c r="A83" s="62">
        <v>73</v>
      </c>
      <c r="B83" s="178"/>
      <c r="C83" s="173"/>
      <c r="D83" s="209"/>
      <c r="E83" s="209"/>
      <c r="F83" s="209"/>
      <c r="G83" s="209"/>
      <c r="H83" s="209"/>
      <c r="I83" s="209"/>
      <c r="J83" s="209"/>
      <c r="K83" s="209"/>
      <c r="L83" s="209"/>
      <c r="M83" s="209"/>
      <c r="N83" s="180"/>
      <c r="O83" s="180"/>
      <c r="P83" s="181"/>
      <c r="Q83" s="181"/>
    </row>
    <row r="84" spans="1:17" x14ac:dyDescent="0.25">
      <c r="A84" s="62">
        <v>74</v>
      </c>
      <c r="B84" s="171"/>
      <c r="C84" s="171" t="s">
        <v>276</v>
      </c>
      <c r="D84" s="206">
        <f>D65+D69+D73+D76+D79</f>
        <v>32642.5</v>
      </c>
      <c r="E84" s="206">
        <f t="shared" ref="E84:K84" si="9">E65+E69+E73+E76+E79</f>
        <v>96372.648000000001</v>
      </c>
      <c r="F84" s="206">
        <f>F65+F69+F73+F76+F79</f>
        <v>245675.07</v>
      </c>
      <c r="G84" s="206"/>
      <c r="H84" s="206">
        <f t="shared" si="9"/>
        <v>90401.597999999998</v>
      </c>
      <c r="I84" s="206">
        <f t="shared" si="9"/>
        <v>2000</v>
      </c>
      <c r="J84" s="206">
        <f t="shared" si="9"/>
        <v>0</v>
      </c>
      <c r="K84" s="206">
        <f t="shared" si="9"/>
        <v>17671.472999999998</v>
      </c>
      <c r="L84" s="206">
        <f>L65+L69+L73+L76+L79</f>
        <v>0</v>
      </c>
      <c r="M84" s="206">
        <f>M65+M69+M73+M76+M79</f>
        <v>484763.28900000005</v>
      </c>
      <c r="N84" s="185"/>
    </row>
    <row r="85" spans="1:17" x14ac:dyDescent="0.25">
      <c r="A85" s="62">
        <v>75</v>
      </c>
      <c r="B85" s="171"/>
      <c r="C85" s="171" t="s">
        <v>277</v>
      </c>
      <c r="D85" s="206">
        <f>D67+D70+D74+D77+D80</f>
        <v>33791</v>
      </c>
      <c r="E85" s="206">
        <f t="shared" ref="E85:M85" si="10">E67+E70+E74+E77+E80</f>
        <v>22059.351999999999</v>
      </c>
      <c r="F85" s="206">
        <f>F67+F70+F74+F77+F80</f>
        <v>35965</v>
      </c>
      <c r="G85" s="206"/>
      <c r="H85" s="206">
        <f t="shared" si="10"/>
        <v>21181.81</v>
      </c>
      <c r="I85" s="206">
        <f t="shared" si="10"/>
        <v>115562.95000000003</v>
      </c>
      <c r="J85" s="206">
        <f t="shared" si="10"/>
        <v>258</v>
      </c>
      <c r="K85" s="206">
        <f t="shared" si="10"/>
        <v>642277.63699999999</v>
      </c>
      <c r="L85" s="206">
        <f>L67</f>
        <v>0</v>
      </c>
      <c r="M85" s="206">
        <f t="shared" si="10"/>
        <v>871095.74900000007</v>
      </c>
      <c r="N85" s="185"/>
    </row>
    <row r="86" spans="1:17" x14ac:dyDescent="0.25">
      <c r="A86" s="62">
        <v>76</v>
      </c>
      <c r="B86" s="171"/>
      <c r="C86" s="171" t="s">
        <v>386</v>
      </c>
      <c r="D86" s="206">
        <f>D71</f>
        <v>0</v>
      </c>
      <c r="E86" s="206">
        <f t="shared" ref="E86:L86" si="11">E71</f>
        <v>0</v>
      </c>
      <c r="F86" s="206">
        <f>F71+F66</f>
        <v>7408</v>
      </c>
      <c r="G86" s="206"/>
      <c r="H86" s="206">
        <f t="shared" si="11"/>
        <v>0</v>
      </c>
      <c r="I86" s="206">
        <f t="shared" si="11"/>
        <v>0</v>
      </c>
      <c r="J86" s="206">
        <f t="shared" si="11"/>
        <v>0</v>
      </c>
      <c r="K86" s="206">
        <f t="shared" si="11"/>
        <v>0</v>
      </c>
      <c r="L86" s="206">
        <f t="shared" si="11"/>
        <v>0</v>
      </c>
      <c r="M86" s="206">
        <f>D86+E86+F86+H86</f>
        <v>7408</v>
      </c>
      <c r="N86" s="185"/>
    </row>
    <row r="87" spans="1:17" s="182" customFormat="1" x14ac:dyDescent="0.25">
      <c r="A87" s="62">
        <v>77</v>
      </c>
      <c r="B87" s="186"/>
      <c r="C87" s="186" t="s">
        <v>278</v>
      </c>
      <c r="D87" s="210">
        <f>SUM(D84:D85)</f>
        <v>66433.5</v>
      </c>
      <c r="E87" s="210">
        <f t="shared" ref="E87:L87" si="12">SUM(E84:E85)</f>
        <v>118432</v>
      </c>
      <c r="F87" s="210">
        <f>SUM(F84:F86)</f>
        <v>289048.07</v>
      </c>
      <c r="G87" s="210"/>
      <c r="H87" s="210">
        <f t="shared" si="12"/>
        <v>111583.408</v>
      </c>
      <c r="I87" s="210">
        <f t="shared" si="12"/>
        <v>117562.95000000003</v>
      </c>
      <c r="J87" s="210">
        <f t="shared" si="12"/>
        <v>258</v>
      </c>
      <c r="K87" s="210">
        <f t="shared" si="12"/>
        <v>659949.11</v>
      </c>
      <c r="L87" s="210">
        <f t="shared" si="12"/>
        <v>0</v>
      </c>
      <c r="M87" s="210">
        <f>SUM(M84:M86)</f>
        <v>1363267.0380000002</v>
      </c>
      <c r="N87" s="187"/>
    </row>
    <row r="88" spans="1:17" s="182" customFormat="1" x14ac:dyDescent="0.25">
      <c r="A88" s="300"/>
      <c r="B88" s="301"/>
      <c r="C88" s="301"/>
      <c r="D88" s="302"/>
      <c r="E88" s="302"/>
      <c r="F88" s="302"/>
      <c r="G88" s="302"/>
      <c r="H88" s="302"/>
      <c r="I88" s="302"/>
      <c r="J88" s="302"/>
      <c r="K88" s="302"/>
      <c r="L88" s="302"/>
      <c r="M88" s="302"/>
      <c r="N88" s="187"/>
    </row>
    <row r="89" spans="1:17" s="182" customFormat="1" x14ac:dyDescent="0.25">
      <c r="A89" s="300"/>
      <c r="B89" s="301"/>
      <c r="C89" s="301"/>
      <c r="D89" s="302"/>
      <c r="E89" s="302"/>
      <c r="F89" s="302"/>
      <c r="G89" s="302"/>
      <c r="H89" s="302"/>
      <c r="I89" s="302"/>
      <c r="J89" s="302"/>
      <c r="K89" s="302"/>
      <c r="L89" s="302"/>
      <c r="M89" s="302"/>
      <c r="N89" s="187"/>
    </row>
    <row r="90" spans="1:17" s="182" customFormat="1" x14ac:dyDescent="0.25">
      <c r="A90" s="300"/>
      <c r="B90" s="301"/>
      <c r="C90" s="301"/>
      <c r="D90" s="302"/>
      <c r="E90" s="302"/>
      <c r="F90" s="302"/>
      <c r="G90" s="302"/>
      <c r="H90" s="302"/>
      <c r="I90" s="302"/>
      <c r="J90" s="302"/>
      <c r="K90" s="302"/>
      <c r="L90" s="302"/>
      <c r="M90" s="302"/>
      <c r="N90" s="187"/>
    </row>
    <row r="91" spans="1:17" s="182" customFormat="1" x14ac:dyDescent="0.25">
      <c r="A91" s="300"/>
      <c r="B91" s="301"/>
      <c r="C91" s="301"/>
      <c r="D91" s="302"/>
      <c r="E91" s="302"/>
      <c r="F91" s="302"/>
      <c r="G91" s="302"/>
      <c r="H91" s="302"/>
      <c r="I91" s="302"/>
      <c r="J91" s="302"/>
      <c r="K91" s="302"/>
      <c r="L91" s="302"/>
      <c r="M91" s="302"/>
      <c r="N91" s="187"/>
    </row>
    <row r="92" spans="1:17" s="182" customFormat="1" x14ac:dyDescent="0.25">
      <c r="A92" s="300"/>
      <c r="B92" s="301"/>
      <c r="C92" s="301"/>
      <c r="D92" s="302"/>
      <c r="E92" s="302"/>
      <c r="F92" s="302"/>
      <c r="G92" s="302"/>
      <c r="H92" s="302"/>
      <c r="I92" s="197" t="s">
        <v>573</v>
      </c>
      <c r="J92" s="197"/>
      <c r="K92" s="338">
        <v>15.242000000000001</v>
      </c>
      <c r="L92" s="302"/>
      <c r="M92" s="302"/>
      <c r="N92" s="187"/>
    </row>
    <row r="93" spans="1:17" s="182" customFormat="1" x14ac:dyDescent="0.25">
      <c r="A93" s="300"/>
      <c r="B93" s="301"/>
      <c r="C93" s="301"/>
      <c r="D93" s="302"/>
      <c r="E93" s="302"/>
      <c r="F93" s="302"/>
      <c r="G93" s="302"/>
      <c r="H93" s="302"/>
      <c r="I93" s="197" t="s">
        <v>426</v>
      </c>
      <c r="J93" s="197"/>
      <c r="K93" s="338">
        <v>1403.191</v>
      </c>
      <c r="L93" s="302"/>
      <c r="M93" s="302"/>
      <c r="N93" s="187"/>
    </row>
    <row r="94" spans="1:17" x14ac:dyDescent="0.25">
      <c r="I94" s="197" t="s">
        <v>427</v>
      </c>
      <c r="K94" s="338">
        <v>1095.674</v>
      </c>
    </row>
    <row r="95" spans="1:17" x14ac:dyDescent="0.25">
      <c r="I95" s="197" t="s">
        <v>428</v>
      </c>
      <c r="K95" s="338">
        <v>8597.0310000000009</v>
      </c>
    </row>
    <row r="96" spans="1:17" x14ac:dyDescent="0.25">
      <c r="I96" s="197" t="s">
        <v>279</v>
      </c>
      <c r="K96" s="338">
        <v>17671.473000000002</v>
      </c>
    </row>
    <row r="97" spans="9:11" x14ac:dyDescent="0.25">
      <c r="I97" s="197" t="s">
        <v>412</v>
      </c>
      <c r="K97" s="338">
        <v>3517.94</v>
      </c>
    </row>
    <row r="98" spans="9:11" x14ac:dyDescent="0.25">
      <c r="I98" s="197" t="s">
        <v>280</v>
      </c>
      <c r="K98" s="338">
        <v>48177.648999999998</v>
      </c>
    </row>
    <row r="99" spans="9:11" x14ac:dyDescent="0.25">
      <c r="I99" s="197" t="s">
        <v>352</v>
      </c>
      <c r="K99" s="197">
        <f>SUM(K92:K98)</f>
        <v>80478.2</v>
      </c>
    </row>
  </sheetData>
  <mergeCells count="2">
    <mergeCell ref="C3:M3"/>
    <mergeCell ref="J1:M1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7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0"/>
  <sheetViews>
    <sheetView view="pageLayout" zoomScaleNormal="100" workbookViewId="0">
      <selection activeCell="J8" sqref="J8"/>
    </sheetView>
  </sheetViews>
  <sheetFormatPr defaultRowHeight="15" x14ac:dyDescent="0.25"/>
  <cols>
    <col min="1" max="1" width="6.140625" style="68" customWidth="1"/>
    <col min="2" max="2" width="15.7109375" style="68" customWidth="1"/>
    <col min="3" max="3" width="31.28515625" style="68" bestFit="1" customWidth="1"/>
    <col min="4" max="4" width="12.7109375" style="68" customWidth="1"/>
    <col min="5" max="5" width="12.85546875" style="68" customWidth="1"/>
    <col min="6" max="6" width="16.140625" style="68" customWidth="1"/>
    <col min="7" max="7" width="17.85546875" style="68" bestFit="1" customWidth="1"/>
    <col min="8" max="8" width="13.7109375" style="68" customWidth="1"/>
    <col min="9" max="9" width="16" style="68" customWidth="1"/>
    <col min="10" max="10" width="13.85546875" style="68" customWidth="1"/>
    <col min="11" max="11" width="13.7109375" style="68" customWidth="1"/>
    <col min="12" max="13" width="0" style="68" hidden="1" customWidth="1"/>
    <col min="14" max="16384" width="9.140625" style="68"/>
  </cols>
  <sheetData>
    <row r="1" spans="1:13" x14ac:dyDescent="0.25">
      <c r="H1" s="363" t="s">
        <v>451</v>
      </c>
      <c r="I1" s="363"/>
      <c r="J1" s="363"/>
      <c r="K1" s="363"/>
    </row>
    <row r="2" spans="1:13" x14ac:dyDescent="0.25">
      <c r="A2" s="66"/>
      <c r="B2" s="67" t="s">
        <v>150</v>
      </c>
      <c r="C2" s="67" t="s">
        <v>172</v>
      </c>
      <c r="D2" s="67" t="s">
        <v>151</v>
      </c>
      <c r="E2" s="67" t="s">
        <v>152</v>
      </c>
      <c r="F2" s="67" t="s">
        <v>153</v>
      </c>
      <c r="G2" s="67" t="s">
        <v>193</v>
      </c>
      <c r="H2" s="67" t="s">
        <v>229</v>
      </c>
      <c r="I2" s="67" t="s">
        <v>230</v>
      </c>
      <c r="J2" s="67" t="s">
        <v>231</v>
      </c>
      <c r="K2" s="67" t="s">
        <v>232</v>
      </c>
    </row>
    <row r="3" spans="1:13" ht="43.5" customHeight="1" x14ac:dyDescent="0.25">
      <c r="A3" s="67">
        <v>1</v>
      </c>
      <c r="B3" s="67"/>
      <c r="C3" s="360" t="s">
        <v>452</v>
      </c>
      <c r="D3" s="361"/>
      <c r="E3" s="361"/>
      <c r="F3" s="361"/>
      <c r="G3" s="361"/>
      <c r="H3" s="361"/>
      <c r="I3" s="361"/>
      <c r="J3" s="361"/>
      <c r="K3" s="362"/>
    </row>
    <row r="4" spans="1:13" ht="81.75" customHeight="1" x14ac:dyDescent="0.25">
      <c r="A4" s="67">
        <v>2</v>
      </c>
      <c r="B4" s="69" t="s">
        <v>233</v>
      </c>
      <c r="C4" s="70" t="s">
        <v>234</v>
      </c>
      <c r="D4" s="71" t="s">
        <v>160</v>
      </c>
      <c r="E4" s="71" t="s">
        <v>159</v>
      </c>
      <c r="F4" s="71" t="s">
        <v>236</v>
      </c>
      <c r="G4" s="71" t="s">
        <v>237</v>
      </c>
      <c r="H4" s="71" t="s">
        <v>238</v>
      </c>
      <c r="I4" s="71" t="s">
        <v>281</v>
      </c>
      <c r="J4" s="71" t="s">
        <v>282</v>
      </c>
      <c r="K4" s="71" t="s">
        <v>239</v>
      </c>
    </row>
    <row r="5" spans="1:13" ht="30" x14ac:dyDescent="0.25">
      <c r="A5" s="67">
        <v>3</v>
      </c>
      <c r="B5" s="67"/>
      <c r="C5" s="72" t="s">
        <v>283</v>
      </c>
      <c r="D5" s="71" t="s">
        <v>502</v>
      </c>
      <c r="E5" s="71" t="s">
        <v>502</v>
      </c>
      <c r="F5" s="71" t="s">
        <v>502</v>
      </c>
      <c r="G5" s="71" t="s">
        <v>503</v>
      </c>
      <c r="H5" s="71" t="s">
        <v>502</v>
      </c>
      <c r="I5" s="71" t="s">
        <v>502</v>
      </c>
      <c r="J5" s="71" t="s">
        <v>502</v>
      </c>
      <c r="K5" s="71" t="s">
        <v>502</v>
      </c>
      <c r="L5" s="73" t="s">
        <v>284</v>
      </c>
      <c r="M5" s="74" t="s">
        <v>285</v>
      </c>
    </row>
    <row r="6" spans="1:13" x14ac:dyDescent="0.25">
      <c r="A6" s="67">
        <v>4</v>
      </c>
      <c r="B6" s="67" t="s">
        <v>354</v>
      </c>
      <c r="C6" s="75" t="s">
        <v>345</v>
      </c>
      <c r="D6" s="233"/>
      <c r="E6" s="233"/>
      <c r="F6" s="233"/>
      <c r="G6" s="233"/>
      <c r="H6" s="233"/>
      <c r="I6" s="233"/>
      <c r="J6" s="234">
        <v>7408</v>
      </c>
      <c r="K6" s="235">
        <f>D6+E6+F6+G6+H6+J6</f>
        <v>7408</v>
      </c>
      <c r="L6" s="66"/>
      <c r="M6" s="66"/>
    </row>
    <row r="7" spans="1:13" x14ac:dyDescent="0.25">
      <c r="A7" s="67">
        <v>5</v>
      </c>
      <c r="B7" s="67" t="s">
        <v>241</v>
      </c>
      <c r="C7" s="75" t="s">
        <v>286</v>
      </c>
      <c r="D7" s="234">
        <v>345</v>
      </c>
      <c r="E7" s="233"/>
      <c r="F7" s="233"/>
      <c r="G7" s="233"/>
      <c r="H7" s="233"/>
      <c r="I7" s="233"/>
      <c r="J7" s="234">
        <v>73386.399999999994</v>
      </c>
      <c r="K7" s="235">
        <f>D7+E7+F7+G7+H7+J7</f>
        <v>73731.399999999994</v>
      </c>
      <c r="L7" s="66">
        <v>218</v>
      </c>
      <c r="M7" s="66">
        <f>1673+87</f>
        <v>1760</v>
      </c>
    </row>
    <row r="8" spans="1:13" ht="15.75" x14ac:dyDescent="0.25">
      <c r="A8" s="67">
        <v>6</v>
      </c>
      <c r="B8" s="67"/>
      <c r="C8" s="72" t="s">
        <v>287</v>
      </c>
      <c r="D8" s="235">
        <f t="shared" ref="D8:K8" si="0">SUM(D6:D7)</f>
        <v>345</v>
      </c>
      <c r="E8" s="235">
        <f t="shared" si="0"/>
        <v>0</v>
      </c>
      <c r="F8" s="235">
        <f t="shared" si="0"/>
        <v>0</v>
      </c>
      <c r="G8" s="235">
        <f t="shared" si="0"/>
        <v>0</v>
      </c>
      <c r="H8" s="235">
        <f t="shared" si="0"/>
        <v>0</v>
      </c>
      <c r="I8" s="235">
        <f t="shared" si="0"/>
        <v>0</v>
      </c>
      <c r="J8" s="235">
        <f t="shared" si="0"/>
        <v>80794.399999999994</v>
      </c>
      <c r="K8" s="235">
        <f t="shared" si="0"/>
        <v>81139.399999999994</v>
      </c>
      <c r="L8" s="76"/>
      <c r="M8" s="76"/>
    </row>
    <row r="9" spans="1:13" x14ac:dyDescent="0.25">
      <c r="A9" s="67">
        <v>7</v>
      </c>
      <c r="B9" s="66"/>
      <c r="C9" s="66" t="s">
        <v>288</v>
      </c>
      <c r="D9" s="236">
        <f t="shared" ref="D9:K9" si="1">SUMIF($B6:$B7,"kötelező",D6:D7)</f>
        <v>345</v>
      </c>
      <c r="E9" s="236">
        <f t="shared" si="1"/>
        <v>0</v>
      </c>
      <c r="F9" s="236">
        <f t="shared" si="1"/>
        <v>0</v>
      </c>
      <c r="G9" s="236">
        <f t="shared" si="1"/>
        <v>0</v>
      </c>
      <c r="H9" s="236">
        <f t="shared" si="1"/>
        <v>0</v>
      </c>
      <c r="I9" s="236">
        <f t="shared" si="1"/>
        <v>0</v>
      </c>
      <c r="J9" s="236">
        <f t="shared" si="1"/>
        <v>73386.399999999994</v>
      </c>
      <c r="K9" s="236">
        <f t="shared" si="1"/>
        <v>73731.399999999994</v>
      </c>
      <c r="L9" s="66"/>
      <c r="M9" s="66"/>
    </row>
    <row r="10" spans="1:13" x14ac:dyDescent="0.25">
      <c r="A10" s="67">
        <v>8</v>
      </c>
      <c r="B10" s="66"/>
      <c r="C10" s="66" t="s">
        <v>353</v>
      </c>
      <c r="D10" s="236">
        <f>SUMIF($B6:$B7,"államigazgatási",D6:D7)</f>
        <v>0</v>
      </c>
      <c r="E10" s="236">
        <f t="shared" ref="E10:K10" si="2">SUMIF($B6:$B7,"államigazgatási",E6:E7)</f>
        <v>0</v>
      </c>
      <c r="F10" s="236">
        <f t="shared" si="2"/>
        <v>0</v>
      </c>
      <c r="G10" s="236">
        <f t="shared" si="2"/>
        <v>0</v>
      </c>
      <c r="H10" s="236">
        <f t="shared" si="2"/>
        <v>0</v>
      </c>
      <c r="I10" s="236">
        <f t="shared" si="2"/>
        <v>0</v>
      </c>
      <c r="J10" s="236">
        <f t="shared" si="2"/>
        <v>7408</v>
      </c>
      <c r="K10" s="236">
        <f t="shared" si="2"/>
        <v>7408</v>
      </c>
      <c r="L10" s="66"/>
      <c r="M10" s="66"/>
    </row>
  </sheetData>
  <mergeCells count="2">
    <mergeCell ref="C3:K3"/>
    <mergeCell ref="H1:K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9"/>
  <sheetViews>
    <sheetView view="pageLayout" zoomScaleNormal="100" workbookViewId="0">
      <selection activeCell="J12" sqref="J12"/>
    </sheetView>
  </sheetViews>
  <sheetFormatPr defaultRowHeight="15" x14ac:dyDescent="0.25"/>
  <cols>
    <col min="1" max="1" width="5.28515625" style="78" customWidth="1"/>
    <col min="2" max="2" width="13.28515625" style="78" customWidth="1"/>
    <col min="3" max="3" width="28" style="78" customWidth="1"/>
    <col min="4" max="11" width="16" style="78" customWidth="1"/>
    <col min="12" max="12" width="0" style="77" hidden="1" customWidth="1"/>
    <col min="13" max="16384" width="9.140625" style="78"/>
  </cols>
  <sheetData>
    <row r="1" spans="1:12" x14ac:dyDescent="0.25">
      <c r="I1" s="68"/>
      <c r="J1" s="68"/>
      <c r="K1" s="139" t="s">
        <v>454</v>
      </c>
    </row>
    <row r="2" spans="1:12" x14ac:dyDescent="0.25">
      <c r="A2" s="67"/>
      <c r="B2" s="67"/>
      <c r="C2" s="67" t="s">
        <v>150</v>
      </c>
      <c r="D2" s="67" t="s">
        <v>172</v>
      </c>
      <c r="E2" s="67" t="s">
        <v>152</v>
      </c>
      <c r="F2" s="67" t="s">
        <v>193</v>
      </c>
      <c r="G2" s="67" t="s">
        <v>230</v>
      </c>
      <c r="H2" s="67" t="s">
        <v>232</v>
      </c>
      <c r="I2" s="67" t="s">
        <v>289</v>
      </c>
      <c r="J2" s="67" t="s">
        <v>290</v>
      </c>
      <c r="K2" s="67" t="s">
        <v>291</v>
      </c>
    </row>
    <row r="3" spans="1:12" ht="18.75" x14ac:dyDescent="0.25">
      <c r="A3" s="67">
        <v>1</v>
      </c>
      <c r="B3" s="67"/>
      <c r="C3" s="361" t="s">
        <v>455</v>
      </c>
      <c r="D3" s="361"/>
      <c r="E3" s="361"/>
      <c r="F3" s="361"/>
      <c r="G3" s="361"/>
      <c r="H3" s="361"/>
      <c r="I3" s="361"/>
      <c r="J3" s="361"/>
      <c r="K3" s="361"/>
    </row>
    <row r="4" spans="1:12" ht="57" customHeight="1" x14ac:dyDescent="0.25">
      <c r="A4" s="67">
        <v>2</v>
      </c>
      <c r="B4" s="69" t="s">
        <v>292</v>
      </c>
      <c r="C4" s="72" t="s">
        <v>234</v>
      </c>
      <c r="D4" s="71" t="s">
        <v>160</v>
      </c>
      <c r="E4" s="71" t="s">
        <v>159</v>
      </c>
      <c r="F4" s="71" t="s">
        <v>236</v>
      </c>
      <c r="G4" s="71" t="s">
        <v>237</v>
      </c>
      <c r="H4" s="71" t="s">
        <v>238</v>
      </c>
      <c r="I4" s="71" t="s">
        <v>281</v>
      </c>
      <c r="J4" s="71" t="s">
        <v>282</v>
      </c>
      <c r="K4" s="71" t="s">
        <v>239</v>
      </c>
      <c r="L4" s="79" t="s">
        <v>293</v>
      </c>
    </row>
    <row r="5" spans="1:12" ht="30" x14ac:dyDescent="0.25">
      <c r="A5" s="67">
        <v>3</v>
      </c>
      <c r="B5" s="80"/>
      <c r="C5" s="72" t="s">
        <v>283</v>
      </c>
      <c r="D5" s="71" t="s">
        <v>502</v>
      </c>
      <c r="E5" s="71" t="s">
        <v>502</v>
      </c>
      <c r="F5" s="71" t="s">
        <v>502</v>
      </c>
      <c r="G5" s="71" t="s">
        <v>502</v>
      </c>
      <c r="H5" s="71" t="s">
        <v>502</v>
      </c>
      <c r="I5" s="71" t="s">
        <v>502</v>
      </c>
      <c r="J5" s="71" t="s">
        <v>502</v>
      </c>
      <c r="K5" s="71" t="s">
        <v>502</v>
      </c>
      <c r="L5" s="81" t="s">
        <v>294</v>
      </c>
    </row>
    <row r="6" spans="1:12" s="86" customFormat="1" x14ac:dyDescent="0.25">
      <c r="A6" s="82">
        <v>4</v>
      </c>
      <c r="B6" s="82" t="s">
        <v>241</v>
      </c>
      <c r="C6" s="83" t="s">
        <v>295</v>
      </c>
      <c r="D6" s="228"/>
      <c r="E6" s="228"/>
      <c r="F6" s="229"/>
      <c r="G6" s="229"/>
      <c r="H6" s="229"/>
      <c r="I6" s="229"/>
      <c r="J6" s="230">
        <v>2349</v>
      </c>
      <c r="K6" s="231">
        <f t="shared" ref="K6:K15" si="0">D6+E6+F6+G6+H6+I6+J6</f>
        <v>2349</v>
      </c>
      <c r="L6" s="85">
        <v>350</v>
      </c>
    </row>
    <row r="7" spans="1:12" s="86" customFormat="1" x14ac:dyDescent="0.25">
      <c r="A7" s="82">
        <v>6</v>
      </c>
      <c r="B7" s="82" t="s">
        <v>241</v>
      </c>
      <c r="C7" s="83" t="s">
        <v>296</v>
      </c>
      <c r="D7" s="228"/>
      <c r="E7" s="228"/>
      <c r="F7" s="229"/>
      <c r="G7" s="229"/>
      <c r="H7" s="229"/>
      <c r="I7" s="229"/>
      <c r="J7" s="230">
        <v>271.5</v>
      </c>
      <c r="K7" s="231">
        <f t="shared" si="0"/>
        <v>271.5</v>
      </c>
      <c r="L7" s="85"/>
    </row>
    <row r="8" spans="1:12" s="86" customFormat="1" x14ac:dyDescent="0.25">
      <c r="A8" s="82">
        <v>7</v>
      </c>
      <c r="B8" s="82" t="s">
        <v>247</v>
      </c>
      <c r="C8" s="83" t="s">
        <v>297</v>
      </c>
      <c r="D8" s="228"/>
      <c r="E8" s="228"/>
      <c r="F8" s="229"/>
      <c r="G8" s="229"/>
      <c r="H8" s="229"/>
      <c r="I8" s="229"/>
      <c r="J8" s="230">
        <v>1058.5</v>
      </c>
      <c r="K8" s="231">
        <f t="shared" si="0"/>
        <v>1058.5</v>
      </c>
      <c r="L8" s="85">
        <v>13</v>
      </c>
    </row>
    <row r="9" spans="1:12" s="86" customFormat="1" x14ac:dyDescent="0.25">
      <c r="A9" s="82">
        <v>8</v>
      </c>
      <c r="B9" s="82" t="s">
        <v>241</v>
      </c>
      <c r="C9" s="83" t="s">
        <v>298</v>
      </c>
      <c r="D9" s="228"/>
      <c r="E9" s="228"/>
      <c r="F9" s="229"/>
      <c r="G9" s="229"/>
      <c r="H9" s="229"/>
      <c r="I9" s="229"/>
      <c r="J9" s="230">
        <v>10164.799999999999</v>
      </c>
      <c r="K9" s="231">
        <f t="shared" si="0"/>
        <v>10164.799999999999</v>
      </c>
      <c r="L9" s="85"/>
    </row>
    <row r="10" spans="1:12" s="86" customFormat="1" x14ac:dyDescent="0.25">
      <c r="A10" s="82">
        <v>9</v>
      </c>
      <c r="B10" s="82" t="s">
        <v>241</v>
      </c>
      <c r="C10" s="83" t="s">
        <v>299</v>
      </c>
      <c r="D10" s="228"/>
      <c r="E10" s="228"/>
      <c r="F10" s="229"/>
      <c r="G10" s="229"/>
      <c r="H10" s="229"/>
      <c r="I10" s="229"/>
      <c r="J10" s="230">
        <v>600</v>
      </c>
      <c r="K10" s="231">
        <f t="shared" si="0"/>
        <v>600</v>
      </c>
      <c r="L10" s="85"/>
    </row>
    <row r="11" spans="1:12" s="86" customFormat="1" x14ac:dyDescent="0.25">
      <c r="A11" s="82">
        <v>10</v>
      </c>
      <c r="B11" s="82" t="s">
        <v>247</v>
      </c>
      <c r="C11" s="83" t="s">
        <v>300</v>
      </c>
      <c r="D11" s="225">
        <v>27730</v>
      </c>
      <c r="E11" s="225"/>
      <c r="F11" s="229"/>
      <c r="G11" s="229"/>
      <c r="H11" s="229"/>
      <c r="I11" s="229"/>
      <c r="J11" s="230">
        <f>59955.5+300</f>
        <v>60255.5</v>
      </c>
      <c r="K11" s="231">
        <f t="shared" si="0"/>
        <v>87985.5</v>
      </c>
      <c r="L11" s="85">
        <v>25315</v>
      </c>
    </row>
    <row r="12" spans="1:12" s="86" customFormat="1" x14ac:dyDescent="0.25">
      <c r="A12" s="82">
        <v>11</v>
      </c>
      <c r="B12" s="82" t="s">
        <v>241</v>
      </c>
      <c r="C12" s="83" t="s">
        <v>301</v>
      </c>
      <c r="D12" s="228"/>
      <c r="E12" s="228"/>
      <c r="F12" s="229"/>
      <c r="G12" s="229"/>
      <c r="H12" s="229"/>
      <c r="I12" s="229"/>
      <c r="J12" s="230">
        <v>11364.1</v>
      </c>
      <c r="K12" s="231">
        <f t="shared" si="0"/>
        <v>11364.1</v>
      </c>
      <c r="L12" s="85">
        <v>4</v>
      </c>
    </row>
    <row r="13" spans="1:12" s="86" customFormat="1" x14ac:dyDescent="0.25">
      <c r="A13" s="82">
        <v>12</v>
      </c>
      <c r="B13" s="82" t="s">
        <v>241</v>
      </c>
      <c r="C13" s="83" t="s">
        <v>387</v>
      </c>
      <c r="D13" s="228"/>
      <c r="E13" s="228"/>
      <c r="F13" s="229"/>
      <c r="G13" s="229"/>
      <c r="H13" s="229"/>
      <c r="I13" s="229"/>
      <c r="J13" s="230">
        <v>9423</v>
      </c>
      <c r="K13" s="231">
        <f t="shared" si="0"/>
        <v>9423</v>
      </c>
      <c r="L13" s="85"/>
    </row>
    <row r="14" spans="1:12" s="86" customFormat="1" x14ac:dyDescent="0.25">
      <c r="A14" s="82">
        <v>13</v>
      </c>
      <c r="B14" s="82" t="s">
        <v>241</v>
      </c>
      <c r="C14" s="83" t="s">
        <v>302</v>
      </c>
      <c r="D14" s="225">
        <v>4369</v>
      </c>
      <c r="E14" s="228"/>
      <c r="F14" s="229"/>
      <c r="G14" s="229"/>
      <c r="H14" s="229"/>
      <c r="I14" s="229"/>
      <c r="J14" s="230">
        <v>6966</v>
      </c>
      <c r="K14" s="231">
        <f t="shared" si="0"/>
        <v>11335</v>
      </c>
      <c r="L14" s="85">
        <v>10237</v>
      </c>
    </row>
    <row r="15" spans="1:12" x14ac:dyDescent="0.25">
      <c r="A15" s="67">
        <v>14</v>
      </c>
      <c r="B15" s="67" t="s">
        <v>241</v>
      </c>
      <c r="C15" s="75" t="s">
        <v>303</v>
      </c>
      <c r="D15" s="232"/>
      <c r="E15" s="232"/>
      <c r="F15" s="233"/>
      <c r="G15" s="233"/>
      <c r="H15" s="233"/>
      <c r="I15" s="233"/>
      <c r="J15" s="234">
        <v>10739</v>
      </c>
      <c r="K15" s="235">
        <f t="shared" si="0"/>
        <v>10739</v>
      </c>
      <c r="L15" s="87"/>
    </row>
    <row r="16" spans="1:12" ht="15.75" x14ac:dyDescent="0.25">
      <c r="A16" s="67">
        <v>18</v>
      </c>
      <c r="B16" s="67"/>
      <c r="C16" s="72" t="s">
        <v>287</v>
      </c>
      <c r="D16" s="235">
        <f t="shared" ref="D16:K16" si="1">SUM(D6:D15)</f>
        <v>32099</v>
      </c>
      <c r="E16" s="235">
        <f t="shared" si="1"/>
        <v>0</v>
      </c>
      <c r="F16" s="235">
        <f t="shared" si="1"/>
        <v>0</v>
      </c>
      <c r="G16" s="235">
        <f t="shared" si="1"/>
        <v>0</v>
      </c>
      <c r="H16" s="235">
        <f t="shared" si="1"/>
        <v>0</v>
      </c>
      <c r="I16" s="235">
        <f t="shared" si="1"/>
        <v>0</v>
      </c>
      <c r="J16" s="235">
        <f t="shared" si="1"/>
        <v>113191.40000000001</v>
      </c>
      <c r="K16" s="235">
        <f t="shared" si="1"/>
        <v>145290.40000000002</v>
      </c>
      <c r="L16" s="87"/>
    </row>
    <row r="17" spans="1:12" x14ac:dyDescent="0.25">
      <c r="A17" s="67">
        <v>19</v>
      </c>
      <c r="B17" s="88"/>
      <c r="C17" s="89" t="s">
        <v>271</v>
      </c>
      <c r="D17" s="236">
        <f t="shared" ref="D17:K17" si="2">SUMIF($B6:$B15,"kötelező",D6:D15)</f>
        <v>4369</v>
      </c>
      <c r="E17" s="236">
        <f t="shared" si="2"/>
        <v>0</v>
      </c>
      <c r="F17" s="236">
        <f t="shared" si="2"/>
        <v>0</v>
      </c>
      <c r="G17" s="236">
        <f t="shared" si="2"/>
        <v>0</v>
      </c>
      <c r="H17" s="236">
        <f t="shared" si="2"/>
        <v>0</v>
      </c>
      <c r="I17" s="236">
        <f t="shared" si="2"/>
        <v>0</v>
      </c>
      <c r="J17" s="236">
        <f t="shared" si="2"/>
        <v>51877.4</v>
      </c>
      <c r="K17" s="236">
        <f t="shared" si="2"/>
        <v>56246.400000000001</v>
      </c>
      <c r="L17" s="87"/>
    </row>
    <row r="18" spans="1:12" x14ac:dyDescent="0.25">
      <c r="A18" s="67">
        <v>20</v>
      </c>
      <c r="B18" s="88"/>
      <c r="C18" s="89" t="s">
        <v>272</v>
      </c>
      <c r="D18" s="236">
        <f t="shared" ref="D18:K18" si="3">SUMIF($B6:$B15,"nem kötelező",D6:D15)</f>
        <v>27730</v>
      </c>
      <c r="E18" s="236">
        <f t="shared" si="3"/>
        <v>0</v>
      </c>
      <c r="F18" s="236">
        <f t="shared" si="3"/>
        <v>0</v>
      </c>
      <c r="G18" s="236">
        <f t="shared" si="3"/>
        <v>0</v>
      </c>
      <c r="H18" s="236">
        <f t="shared" si="3"/>
        <v>0</v>
      </c>
      <c r="I18" s="236">
        <f t="shared" si="3"/>
        <v>0</v>
      </c>
      <c r="J18" s="236">
        <f t="shared" si="3"/>
        <v>61314</v>
      </c>
      <c r="K18" s="236">
        <f t="shared" si="3"/>
        <v>89044</v>
      </c>
      <c r="L18" s="87"/>
    </row>
    <row r="19" spans="1:12" x14ac:dyDescent="0.25">
      <c r="B19" s="90"/>
      <c r="C19" s="90"/>
      <c r="D19" s="90"/>
      <c r="E19" s="90"/>
      <c r="F19" s="90"/>
      <c r="G19" s="90"/>
      <c r="H19" s="90"/>
      <c r="I19" s="90"/>
      <c r="J19" s="90"/>
      <c r="K19" s="90"/>
    </row>
  </sheetData>
  <mergeCells count="1">
    <mergeCell ref="C3:K3"/>
  </mergeCells>
  <printOptions horizontalCentered="1"/>
  <pageMargins left="0.70866141732283472" right="0.1640625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22</vt:i4>
      </vt:variant>
      <vt:variant>
        <vt:lpstr>Névvel ellátott tartományok</vt:lpstr>
      </vt:variant>
      <vt:variant>
        <vt:i4>7</vt:i4>
      </vt:variant>
    </vt:vector>
  </HeadingPairs>
  <TitlesOfParts>
    <vt:vector size="29" baseType="lpstr">
      <vt:lpstr>1.1.összevont</vt:lpstr>
      <vt:lpstr>1.2.kötelező</vt:lpstr>
      <vt:lpstr>1.3.önként</vt:lpstr>
      <vt:lpstr>1.4.államigazg</vt:lpstr>
      <vt:lpstr>2.1.műkmérleg</vt:lpstr>
      <vt:lpstr>2.2.felhmérleg</vt:lpstr>
      <vt:lpstr>3.1 Önk bev.</vt:lpstr>
      <vt:lpstr>3.2 PMH bev.</vt:lpstr>
      <vt:lpstr>3.3 GKP bev</vt:lpstr>
      <vt:lpstr>3.4 VE bev</vt:lpstr>
      <vt:lpstr>3.5 MH bev.</vt:lpstr>
      <vt:lpstr>4.1.Önk kiad</vt:lpstr>
      <vt:lpstr>4.2.PMH kiad</vt:lpstr>
      <vt:lpstr>4.3. GKP kiad</vt:lpstr>
      <vt:lpstr>4.4. VE kiad</vt:lpstr>
      <vt:lpstr>4.5. MH kiad</vt:lpstr>
      <vt:lpstr>5.Beruh</vt:lpstr>
      <vt:lpstr>6.Felújít</vt:lpstr>
      <vt:lpstr>7.adóss keletk köt </vt:lpstr>
      <vt:lpstr>8.önk saját bev</vt:lpstr>
      <vt:lpstr>9.adóss.fejl</vt:lpstr>
      <vt:lpstr>10.EU-s</vt:lpstr>
      <vt:lpstr>'10.EU-s'!Nyomtatási_terület</vt:lpstr>
      <vt:lpstr>'3.1 Önk bev.'!Nyomtatási_terület</vt:lpstr>
      <vt:lpstr>'4.1.Önk kiad'!Nyomtatási_terület</vt:lpstr>
      <vt:lpstr>'4.2.PMH kiad'!Nyomtatási_terület</vt:lpstr>
      <vt:lpstr>'4.3. GKP kiad'!Nyomtatási_terület</vt:lpstr>
      <vt:lpstr>'4.4. VE kiad'!Nyomtatási_terület</vt:lpstr>
      <vt:lpstr>'4.5. MH kiad'!Nyomtatási_terület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2019-03-07T10:09:51Z</dcterms:modified>
</cp:coreProperties>
</file>