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2"/>
  </bookViews>
  <sheets>
    <sheet name="1.összevont" sheetId="4" r:id="rId1"/>
    <sheet name="2.többéveskihat" sheetId="1" r:id="rId2"/>
    <sheet name="3. kedvezmények" sheetId="2" r:id="rId3"/>
    <sheet name="4.EI felhterv" sheetId="3" r:id="rId4"/>
    <sheet name="5.támogatások" sheetId="5" r:id="rId5"/>
    <sheet name="6.gördülő" sheetId="6" r:id="rId6"/>
  </sheets>
  <definedNames>
    <definedName name="_xlnm.Print_Area" localSheetId="1">'2.többéveskihat'!$A$1:$I$23</definedName>
    <definedName name="_xlnm.Print_Area" localSheetId="3">'4.EI felhterv'!$A$1:$O$29</definedName>
  </definedNames>
  <calcPr calcId="145621"/>
</workbook>
</file>

<file path=xl/calcChain.xml><?xml version="1.0" encoding="utf-8"?>
<calcChain xmlns="http://schemas.openxmlformats.org/spreadsheetml/2006/main">
  <c r="C32" i="2" l="1"/>
  <c r="D32" i="2"/>
  <c r="E31" i="6" l="1"/>
  <c r="E29" i="6"/>
  <c r="D31" i="6"/>
  <c r="D29" i="6"/>
  <c r="D11" i="6"/>
  <c r="E11" i="6"/>
  <c r="C34" i="6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K10" i="3"/>
  <c r="G10" i="3"/>
  <c r="E10" i="3"/>
  <c r="M18" i="3"/>
  <c r="J18" i="3"/>
  <c r="I18" i="3"/>
  <c r="G18" i="3"/>
  <c r="F18" i="3"/>
  <c r="E18" i="3"/>
  <c r="D18" i="3"/>
  <c r="C18" i="3"/>
  <c r="H18" i="3"/>
  <c r="K18" i="3"/>
  <c r="N19" i="3"/>
  <c r="K19" i="3"/>
  <c r="F19" i="3"/>
  <c r="E22" i="3"/>
  <c r="C22" i="3"/>
  <c r="D22" i="3"/>
  <c r="M23" i="3"/>
  <c r="L23" i="3"/>
  <c r="N23" i="3"/>
  <c r="F23" i="3"/>
  <c r="H23" i="3"/>
  <c r="G24" i="3"/>
  <c r="G23" i="3"/>
  <c r="P22" i="3"/>
  <c r="C10" i="2"/>
  <c r="I17" i="1" l="1"/>
  <c r="E23" i="1" l="1"/>
  <c r="F23" i="1"/>
  <c r="G23" i="1"/>
  <c r="H23" i="1"/>
  <c r="D23" i="1"/>
  <c r="E9" i="1"/>
  <c r="F9" i="1"/>
  <c r="G9" i="1"/>
  <c r="H9" i="1"/>
  <c r="I9" i="1"/>
  <c r="D9" i="1"/>
  <c r="I10" i="1"/>
  <c r="I16" i="1"/>
  <c r="D35" i="4" l="1"/>
  <c r="D72" i="4"/>
  <c r="E72" i="4"/>
  <c r="C72" i="4"/>
  <c r="D23" i="6" l="1"/>
  <c r="C11" i="6"/>
  <c r="C12" i="6"/>
  <c r="E67" i="4" l="1"/>
  <c r="D24" i="4" l="1"/>
  <c r="C24" i="4"/>
  <c r="E24" i="4"/>
  <c r="D41" i="4" l="1"/>
  <c r="D47" i="4" s="1"/>
  <c r="D23" i="4"/>
  <c r="D19" i="4"/>
  <c r="D15" i="4"/>
  <c r="D8" i="4"/>
  <c r="C81" i="4"/>
  <c r="C76" i="4"/>
  <c r="C67" i="4"/>
  <c r="C58" i="4"/>
  <c r="C53" i="4" s="1"/>
  <c r="D34" i="4" l="1"/>
  <c r="D48" i="4" s="1"/>
  <c r="C86" i="4"/>
  <c r="C75" i="4"/>
  <c r="C87" i="4" s="1"/>
  <c r="C41" i="4"/>
  <c r="C35" i="4"/>
  <c r="C23" i="4"/>
  <c r="C19" i="4"/>
  <c r="C15" i="4"/>
  <c r="C8" i="4"/>
  <c r="C34" i="4" l="1"/>
  <c r="C47" i="4"/>
  <c r="D18" i="6"/>
  <c r="D12" i="6"/>
  <c r="E12" i="6"/>
  <c r="C22" i="6"/>
  <c r="D22" i="6" l="1"/>
  <c r="E22" i="6"/>
  <c r="C48" i="4"/>
  <c r="E15" i="1" l="1"/>
  <c r="F15" i="1"/>
  <c r="G15" i="1"/>
  <c r="H15" i="1"/>
  <c r="D15" i="1"/>
  <c r="O26" i="3" l="1"/>
  <c r="Q26" i="3" s="1"/>
  <c r="O13" i="3"/>
  <c r="Q13" i="3" s="1"/>
  <c r="Q17" i="3"/>
  <c r="P28" i="3"/>
  <c r="P16" i="3"/>
  <c r="E64" i="4" l="1"/>
  <c r="I15" i="1" l="1"/>
  <c r="I23" i="1" s="1"/>
  <c r="E58" i="4"/>
  <c r="D58" i="4" l="1"/>
  <c r="D53" i="4" s="1"/>
  <c r="D67" i="4"/>
  <c r="E53" i="4" l="1"/>
  <c r="O27" i="3" l="1"/>
  <c r="Q27" i="3" s="1"/>
  <c r="D28" i="3"/>
  <c r="O20" i="3"/>
  <c r="Q20" i="3" s="1"/>
  <c r="F28" i="3"/>
  <c r="H28" i="3"/>
  <c r="J28" i="3"/>
  <c r="L28" i="3"/>
  <c r="N28" i="3"/>
  <c r="O23" i="3"/>
  <c r="Q23" i="3" s="1"/>
  <c r="O24" i="3"/>
  <c r="Q24" i="3" s="1"/>
  <c r="O25" i="3"/>
  <c r="Q25" i="3" s="1"/>
  <c r="E28" i="3"/>
  <c r="G28" i="3"/>
  <c r="I28" i="3"/>
  <c r="K28" i="3"/>
  <c r="M28" i="3"/>
  <c r="O18" i="3"/>
  <c r="D16" i="3"/>
  <c r="E16" i="3"/>
  <c r="F16" i="3"/>
  <c r="G16" i="3"/>
  <c r="H16" i="3"/>
  <c r="I16" i="3"/>
  <c r="J16" i="3"/>
  <c r="K16" i="3"/>
  <c r="L16" i="3"/>
  <c r="M16" i="3"/>
  <c r="N16" i="3"/>
  <c r="O8" i="3"/>
  <c r="Q8" i="3" s="1"/>
  <c r="O9" i="3"/>
  <c r="Q9" i="3" s="1"/>
  <c r="O10" i="3"/>
  <c r="Q10" i="3" s="1"/>
  <c r="O12" i="3"/>
  <c r="Q12" i="3" s="1"/>
  <c r="O14" i="3"/>
  <c r="Q14" i="3" s="1"/>
  <c r="O15" i="3"/>
  <c r="Q15" i="3" s="1"/>
  <c r="Q18" i="3" l="1"/>
  <c r="G29" i="3"/>
  <c r="M29" i="3"/>
  <c r="I29" i="3"/>
  <c r="E29" i="3"/>
  <c r="K29" i="3"/>
  <c r="N29" i="3"/>
  <c r="L29" i="3"/>
  <c r="J29" i="3"/>
  <c r="H29" i="3"/>
  <c r="F29" i="3"/>
  <c r="D29" i="3"/>
  <c r="O22" i="3"/>
  <c r="Q22" i="3" s="1"/>
  <c r="C28" i="3"/>
  <c r="O21" i="3"/>
  <c r="Q21" i="3" s="1"/>
  <c r="O19" i="3"/>
  <c r="Q19" i="3" s="1"/>
  <c r="O11" i="3"/>
  <c r="Q11" i="3" s="1"/>
  <c r="O7" i="3"/>
  <c r="Q7" i="3" s="1"/>
  <c r="C16" i="3"/>
  <c r="D24" i="6"/>
  <c r="E24" i="6"/>
  <c r="C24" i="6"/>
  <c r="O28" i="3" l="1"/>
  <c r="Q28" i="3" s="1"/>
  <c r="C29" i="3"/>
  <c r="O16" i="3"/>
  <c r="E23" i="4"/>
  <c r="D81" i="4"/>
  <c r="E81" i="4"/>
  <c r="D76" i="4"/>
  <c r="E76" i="4"/>
  <c r="E86" i="4" s="1"/>
  <c r="E35" i="4"/>
  <c r="E41" i="4"/>
  <c r="E19" i="4"/>
  <c r="E15" i="4"/>
  <c r="E8" i="4"/>
  <c r="Q16" i="3" l="1"/>
  <c r="O29" i="3"/>
  <c r="D86" i="4"/>
  <c r="D75" i="4"/>
  <c r="E47" i="4"/>
  <c r="C36" i="6"/>
  <c r="E75" i="4"/>
  <c r="E87" i="4" s="1"/>
  <c r="E34" i="4"/>
  <c r="D87" i="4" l="1"/>
  <c r="E48" i="4"/>
  <c r="D34" i="6"/>
  <c r="D36" i="6" s="1"/>
  <c r="E34" i="6"/>
  <c r="E36" i="6" s="1"/>
</calcChain>
</file>

<file path=xl/sharedStrings.xml><?xml version="1.0" encoding="utf-8"?>
<sst xmlns="http://schemas.openxmlformats.org/spreadsheetml/2006/main" count="448" uniqueCount="292">
  <si>
    <t>1. tájékoztató tábla</t>
  </si>
  <si>
    <t>Medgyesegyháza Városi Önkormányzat</t>
  </si>
  <si>
    <t>BEVÉTELEK</t>
  </si>
  <si>
    <t>1.  számú táblázat</t>
  </si>
  <si>
    <t>Ezer forintban</t>
  </si>
  <si>
    <t>Sor-
szám</t>
  </si>
  <si>
    <t>Bevételi jogcímek</t>
  </si>
  <si>
    <t>1.</t>
  </si>
  <si>
    <t>Önkormányzatok működési támogatásai (1.1+……+1.6.)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</si>
  <si>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</si>
  <si>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</si>
  <si>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</si>
  <si>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</si>
  <si>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</si>
  <si>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</si>
  <si>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</si>
  <si>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</si>
  <si>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</si>
  <si>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</si>
  <si>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</si>
  <si>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2.</t>
  </si>
  <si>
    <t>Működési célú támogatások ÁHT-n belülről (2.1+2.2.)</t>
  </si>
  <si>
    <t>2.1.</t>
  </si>
  <si>
    <t>Elvonások és befizetések bevételei</t>
  </si>
  <si>
    <t>2.2.</t>
  </si>
  <si>
    <t>Egyéb működési célú támogatások bevételei</t>
  </si>
  <si>
    <t>2.3.</t>
  </si>
  <si>
    <t>2.2.-ből EU-s támogatás</t>
  </si>
  <si>
    <t>3.</t>
  </si>
  <si>
    <t>Felhalmozási célú támogatások ÁHT-n belülről (3.1.+3.2.)</t>
  </si>
  <si>
    <t>3.1.</t>
  </si>
  <si>
    <t>Felhalmozási célú önkormányzati támogatások</t>
  </si>
  <si>
    <t>3.2.</t>
  </si>
  <si>
    <t>Egyéb felhalmozási célú támogatások</t>
  </si>
  <si>
    <t>3.3.</t>
  </si>
  <si>
    <t>3.2.-ből EU-s támogatás</t>
  </si>
  <si>
    <t>4.</t>
  </si>
  <si>
    <t>Közhatalmi bevételek (4.1+4.2.+4.3.+4.4.)</t>
  </si>
  <si>
    <t>4.1.</t>
  </si>
  <si>
    <t>4.1.1.</t>
  </si>
  <si>
    <t>4.1.2.</t>
  </si>
  <si>
    <t>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</si>
  <si>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</si>
  <si>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</si>
  <si>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</si>
  <si>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</si>
  <si>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</si>
  <si>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</si>
  <si>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</si>
  <si>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</si>
  <si>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</si>
  <si>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</si>
  <si>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</si>
  <si>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</si>
  <si>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</si>
  <si>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</si>
  <si>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KÖLTSÉGVETÉSI BEVÉTELEK ÖSSZESEN: (1+…+8)</t>
  </si>
  <si>
    <t>10.</t>
  </si>
  <si>
    <t>Hitel-, kölcsönfelévtel államháztartáson kívülről (10.1+…+10.3</t>
  </si>
  <si>
    <t>10.1.</t>
  </si>
  <si>
    <t>10.2.</t>
  </si>
  <si>
    <t>Likviditási célú hitelek, kölcsönök felvétele pénzügyi vállalkozástól</t>
  </si>
  <si>
    <t>10.3.</t>
  </si>
  <si>
    <t>Rövid lejáratú hitelek, kölcsönök felvétele</t>
  </si>
  <si>
    <t>11.</t>
  </si>
  <si>
    <t>Belföldi értékpapírok bevételei</t>
  </si>
  <si>
    <t>12.</t>
  </si>
  <si>
    <t>13.</t>
  </si>
  <si>
    <t>Belföldi finanszírozás bevételei (13.1.+13.2.)</t>
  </si>
  <si>
    <t>13.1.</t>
  </si>
  <si>
    <t>Államháztartáson belüli megelőlegezések</t>
  </si>
  <si>
    <t>13.2.</t>
  </si>
  <si>
    <t>Államháztartáson belüli megelőlegezések törlesztése</t>
  </si>
  <si>
    <t>14.</t>
  </si>
  <si>
    <t>Külföldi finanszírozás bevételei</t>
  </si>
  <si>
    <t>15.</t>
  </si>
  <si>
    <t>Váltóbevételek</t>
  </si>
  <si>
    <t xml:space="preserve">16. 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</si>
  <si>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</si>
  <si>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</si>
  <si>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</si>
  <si>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</si>
  <si>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</si>
  <si>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KIADÁSOK</t>
  </si>
  <si>
    <t>2. számú táblázat</t>
  </si>
  <si>
    <t>Kiadási jogcímek</t>
  </si>
  <si>
    <t>Működési költségvetés kiadásai (1.1.+…+1.5.+1.11.)</t>
  </si>
  <si>
    <t>Személyi juttatások</t>
  </si>
  <si>
    <t>Munkaadókat terhelő járulékok és szochó</t>
  </si>
  <si>
    <t>Dologi kiadások</t>
  </si>
  <si>
    <t>Egyéb működési célú kiadások</t>
  </si>
  <si>
    <t>1.7.</t>
  </si>
  <si>
    <t xml:space="preserve">             Törvényi előírásokon alapuló befizetések</t>
  </si>
  <si>
    <t>1.8.</t>
  </si>
  <si>
    <t xml:space="preserve">             Elvonások befizetések</t>
  </si>
  <si>
    <t>1.9.</t>
  </si>
  <si>
    <t xml:space="preserve">             Egyéb működési célú támogatások ÁHT-n belülre</t>
  </si>
  <si>
    <t>1.10.</t>
  </si>
  <si>
    <t xml:space="preserve">             Egyéb működési célú támogatások ÁHT-n kívülre</t>
  </si>
  <si>
    <t>1.11.</t>
  </si>
  <si>
    <t>Tartalékok</t>
  </si>
  <si>
    <t>1.12.</t>
  </si>
  <si>
    <t>1.11.-ből: Általános tartalék</t>
  </si>
  <si>
    <t>1.13.</t>
  </si>
  <si>
    <t xml:space="preserve">                 Céltartalék</t>
  </si>
  <si>
    <t>Felhalmozási költségvetési kiadások (2.1.+2.3.+2.5.)</t>
  </si>
  <si>
    <t>Beruházások</t>
  </si>
  <si>
    <t>2.2</t>
  </si>
  <si>
    <t>2.1.-ből EU-s forrásból megvalósuló beruházás</t>
  </si>
  <si>
    <t>Felújítások</t>
  </si>
  <si>
    <t>2.4.</t>
  </si>
  <si>
    <t>2.3.-ból EU-s forrásból megvalósuló felújítás</t>
  </si>
  <si>
    <t>2.5.</t>
  </si>
  <si>
    <t>Egyéb felhalmozási kiadások</t>
  </si>
  <si>
    <t>2.6.</t>
  </si>
  <si>
    <t>2.5.-ből Egyéb felhalmozási kiadás ÁHT-n belülre</t>
  </si>
  <si>
    <t>2.7.</t>
  </si>
  <si>
    <t xml:space="preserve">              Egyéb felhalmozási kiadás ÁHT-n kívülre</t>
  </si>
  <si>
    <t>KÖLTSÉGVETÉSI KIADÁSOK ÖSSZESEN: (1.+2.)</t>
  </si>
  <si>
    <t>Hitel-, kölcsöntörlesztés államháztartáson kívülre (4.1.+…+4.3.)</t>
  </si>
  <si>
    <t>Hosszú lejáratú hitelek, kölcsönök törlesztése pü vállalkozásoknak</t>
  </si>
  <si>
    <t>Likviditási célú hitelek, kölcsönök törlesztése pü vállalkozásoknak</t>
  </si>
  <si>
    <t>Rövid lejáratú hitelek, kölcsönök törlesztése pü vállalkozásoknak</t>
  </si>
  <si>
    <t>Belföldi értékpapírok vásárlásai</t>
  </si>
  <si>
    <t>Belföldi finanszírozás kiadásai (=6.1.)</t>
  </si>
  <si>
    <t>6.1.</t>
  </si>
  <si>
    <t>Államháztartáson belüli megelőlegezések visszafizetése</t>
  </si>
  <si>
    <t>Külföldi finanszírozás kiadásai</t>
  </si>
  <si>
    <t>Adóssághoz nem kapcsolódó származékos  ügyletek</t>
  </si>
  <si>
    <t xml:space="preserve">9. </t>
  </si>
  <si>
    <t>Váltókiadások</t>
  </si>
  <si>
    <t>FINANSZÍROZÁSI KIADÁSOK ÖSSZESEN: (4.+…+9.)</t>
  </si>
  <si>
    <t>KIADÁSOK ÖSSZESEN: (3+10)</t>
  </si>
  <si>
    <t>A</t>
  </si>
  <si>
    <t>B</t>
  </si>
  <si>
    <t>C</t>
  </si>
  <si>
    <t>D</t>
  </si>
  <si>
    <t>E</t>
  </si>
  <si>
    <t>Működési célú átvett pénzeszközök</t>
  </si>
  <si>
    <t>Többéves kihatással járó döntések számszerűsítése évenkénti bontásban és összesítve célok szerint</t>
  </si>
  <si>
    <t>Kötelezettség jogcíme</t>
  </si>
  <si>
    <t>Köt. Váll.
Éve</t>
  </si>
  <si>
    <t>Kiadás vonzata évenként</t>
  </si>
  <si>
    <t>Összesen</t>
  </si>
  <si>
    <t>F</t>
  </si>
  <si>
    <t>G</t>
  </si>
  <si>
    <t>H</t>
  </si>
  <si>
    <t>I=(D+E+F+G+H)</t>
  </si>
  <si>
    <t>Működési célú finanszírozási kiadások 
(hiteltörlesztés,értékpapír vásárlás stb.)</t>
  </si>
  <si>
    <t>Felhalmozási célú finanszírozási kiadások 
(hiteltörlesztés,értékpapír vásárlás stb.)</t>
  </si>
  <si>
    <t>Beruházási kiadások beruházásonként</t>
  </si>
  <si>
    <t>16.</t>
  </si>
  <si>
    <t>Felújítási kiadások felújításonként</t>
  </si>
  <si>
    <t>Egyéb (pl: garancia és kezességvállalás, stb)</t>
  </si>
  <si>
    <t>2. tájékoztató tábla</t>
  </si>
  <si>
    <t>3. tájékoztató tábla</t>
  </si>
  <si>
    <t>Az önkormányzat által adott közvetett támogatások
(kedvezmények)</t>
  </si>
  <si>
    <t>Bevételi jogcím</t>
  </si>
  <si>
    <t>Kedvezmény nélkül 
elérhető bevétel</t>
  </si>
  <si>
    <t>Kedvezmények 
összege</t>
  </si>
  <si>
    <t>19.</t>
  </si>
  <si>
    <t>Ellátottak térítési díjának méltányosságból történő elengedése</t>
  </si>
  <si>
    <t>Ellátottak kártérítésének méltányosságból történő elengedése</t>
  </si>
  <si>
    <t>Lakosság részére lakásfelújításhoz nyújtott kölcsön elengedése</t>
  </si>
  <si>
    <t>Helyi adóból biztosított kedvezmény mentesség</t>
  </si>
  <si>
    <t>ebből:     Idegenforgalmi adó tartózkodás után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</si>
  <si>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</si>
  <si>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</si>
  <si>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</si>
  <si>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</si>
  <si>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</si>
  <si>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            Iparűzési adó állandó jelleggel végzett tev. után</t>
  </si>
  <si>
    <t>Lakosság részére lakásépítéshez nyútjott kölcsön elengedése</t>
  </si>
  <si>
    <t>20.</t>
  </si>
  <si>
    <t>21.</t>
  </si>
  <si>
    <t>22.</t>
  </si>
  <si>
    <t>23.</t>
  </si>
  <si>
    <t>24.</t>
  </si>
  <si>
    <t>25.</t>
  </si>
  <si>
    <t>26.</t>
  </si>
  <si>
    <t>Összesen:</t>
  </si>
  <si>
    <t xml:space="preserve">B </t>
  </si>
  <si>
    <t xml:space="preserve">D </t>
  </si>
  <si>
    <t>4. tájékoztató tábla</t>
  </si>
  <si>
    <t>Előirányzat felhasználási terv</t>
  </si>
  <si>
    <t>Megnevezés</t>
  </si>
  <si>
    <t>Jan.</t>
  </si>
  <si>
    <t>Febr.</t>
  </si>
  <si>
    <t>Márc.</t>
  </si>
  <si>
    <t>Ápr.</t>
  </si>
  <si>
    <t>Máj.</t>
  </si>
  <si>
    <t>Jún.</t>
  </si>
  <si>
    <t>Júl</t>
  </si>
  <si>
    <t xml:space="preserve">Aug. </t>
  </si>
  <si>
    <t>Szept.</t>
  </si>
  <si>
    <t>Nov.</t>
  </si>
  <si>
    <t>Dec.</t>
  </si>
  <si>
    <t>Okt.</t>
  </si>
  <si>
    <t xml:space="preserve">1. </t>
  </si>
  <si>
    <t>Bevételek</t>
  </si>
  <si>
    <t xml:space="preserve">4. </t>
  </si>
  <si>
    <t xml:space="preserve">5. </t>
  </si>
  <si>
    <t xml:space="preserve">6. </t>
  </si>
  <si>
    <t xml:space="preserve">7.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</si>
  <si>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</si>
  <si>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</si>
  <si>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</si>
  <si>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</si>
  <si>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</si>
  <si>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</si>
  <si>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</si>
  <si>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</si>
  <si>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</si>
  <si>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</si>
  <si>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</si>
  <si>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</si>
  <si>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</si>
  <si>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>Önkormányzatok működési 
támogatásai</t>
  </si>
  <si>
    <t>Működési célú támogatások
ÁHT-n belülről</t>
  </si>
  <si>
    <t>Működési célú támogatások
ÁHT-n kívülről</t>
  </si>
  <si>
    <t>Közhatalmi bevételek</t>
  </si>
  <si>
    <t>Működési bevételek</t>
  </si>
  <si>
    <t>Felhalm. célú átvett pe</t>
  </si>
  <si>
    <t>Finanszírozási bevételek</t>
  </si>
  <si>
    <t>Bevételek összesen:</t>
  </si>
  <si>
    <t>SZOCHÓ és munkaadókat
terhelő járulékok</t>
  </si>
  <si>
    <t>Kiadások</t>
  </si>
  <si>
    <t>Finanszírozási kiadások</t>
  </si>
  <si>
    <t>Kiadások összesen:</t>
  </si>
  <si>
    <t>Egyenleg</t>
  </si>
  <si>
    <t>6. tájékoztató tábla</t>
  </si>
  <si>
    <t>KIMUTATÁS</t>
  </si>
  <si>
    <t>Támogatott szervezet neve</t>
  </si>
  <si>
    <t>Támogatás célja</t>
  </si>
  <si>
    <t>Támogatás 
összege (E Ft)</t>
  </si>
  <si>
    <t xml:space="preserve">BEVÉTELEI ÉS KIADÁSAI </t>
  </si>
  <si>
    <t>1. számú táblázat</t>
  </si>
  <si>
    <t>2019. 
évi</t>
  </si>
  <si>
    <t>Önkormányzatok működési támogatása</t>
  </si>
  <si>
    <t>Felhalmozási célú támogatások ÁHT-n belülról</t>
  </si>
  <si>
    <t>Működési célú támogatások ÁHT-n belülről</t>
  </si>
  <si>
    <t>Helyi adók</t>
  </si>
  <si>
    <t>4.4</t>
  </si>
  <si>
    <t>KÖLTSÉGVETÉSI BEVÉTELEK ÖSSZESEN:</t>
  </si>
  <si>
    <t>FINANSZÍROZÁSI BEVÉTELEK ÖSSZESEN:</t>
  </si>
  <si>
    <t>KÖLTSÉGVETÉSI ÉS FINANSZÍROZÁSI ÖSSZESEN:</t>
  </si>
  <si>
    <t>Működési költségvetés kiadásai</t>
  </si>
  <si>
    <t>Felhalmozási költségvetési kiadásai</t>
  </si>
  <si>
    <t xml:space="preserve">       Beruházások</t>
  </si>
  <si>
    <t xml:space="preserve">       Felújítások</t>
  </si>
  <si>
    <t xml:space="preserve">       Egyéb felhalmozási kiadások</t>
  </si>
  <si>
    <t>KÖLTSÉGVETÉSI KIADÁSOK ÖSSZESEN</t>
  </si>
  <si>
    <t>FINANSZÍROZÁSI KIADÁSOK</t>
  </si>
  <si>
    <t xml:space="preserve">KIADÁSOK ÖSSZESEN: </t>
  </si>
  <si>
    <t>Pályázat útján történik a civil szervezetek 
 támogatása</t>
  </si>
  <si>
    <t>pályázat része</t>
  </si>
  <si>
    <t>5. tájékoztató tábla</t>
  </si>
  <si>
    <t>Forintban!</t>
  </si>
  <si>
    <t>Forintban</t>
  </si>
  <si>
    <t>27.</t>
  </si>
  <si>
    <t xml:space="preserve">               Helyi jövedéki adó</t>
  </si>
  <si>
    <t>Felhalmozási célú támogatások
ÁHT-n belülről</t>
  </si>
  <si>
    <t xml:space="preserve">24. </t>
  </si>
  <si>
    <t>Tartalék</t>
  </si>
  <si>
    <t>Talajterhelési díj</t>
  </si>
  <si>
    <t>2018. ÉVI KÖLTSÉGVETÉSÉNEK ÖSSZEVONT MÉRLEGE</t>
  </si>
  <si>
    <t>2018. évre</t>
  </si>
  <si>
    <t>a 2018. évben céljelleggel juttatott támogatásokról</t>
  </si>
  <si>
    <t>2018. ÉVI KÖLTSÉGVETÉSI ÉVETKÖVETŐ 3 ÉV TERVEZETT</t>
  </si>
  <si>
    <t>Hosszú lejáratú hitelek, kölcsönök felvétele</t>
  </si>
  <si>
    <t>2020. 
évi</t>
  </si>
  <si>
    <t>2017. évi tény</t>
  </si>
  <si>
    <t>2018. évi tény</t>
  </si>
  <si>
    <t>2019. évi előirányzat</t>
  </si>
  <si>
    <t>Elszámolásból származó bevételek</t>
  </si>
  <si>
    <t>Jövedelemadók (Termőföld bérbeadás)</t>
  </si>
  <si>
    <t>Helyi adók (4.1.1.+ 4.1.2)</t>
  </si>
  <si>
    <t>Egyéb áruhasználati és szolgáltatási adók (IFA)</t>
  </si>
  <si>
    <t>Önkormányxzat  által folyósított ellátások</t>
  </si>
  <si>
    <t>1.5.-ből Előző évi elszámolásból származó befizetések</t>
  </si>
  <si>
    <t>Előző évi költségvetési maradvány igénybe vétele</t>
  </si>
  <si>
    <t>568,754,882</t>
  </si>
  <si>
    <t>2019 előtti 
kifizetés</t>
  </si>
  <si>
    <t>VP6-7.2.1-7.4.1.3-17 Piac</t>
  </si>
  <si>
    <t>EFOP-3.9.2-16 Humán kapacitások fejlesztése</t>
  </si>
  <si>
    <t>Éven túli célhitel törlesztése</t>
  </si>
  <si>
    <t>Összesen: (1.+4+7.+10.+13.)</t>
  </si>
  <si>
    <t>Önkormányzat által folyósított ellátások</t>
  </si>
  <si>
    <t xml:space="preserve">              Jövedelem adók  (termőföld bérbeadás)</t>
  </si>
  <si>
    <t xml:space="preserve">               Értékesítési és forgalmi adók</t>
  </si>
  <si>
    <t>2021. 
évi</t>
  </si>
  <si>
    <t>2019.
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</si>
</sst>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49" fontId="1" fillId="0" borderId="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0" xfId="0" applyFont="1"/>
    <xf numFmtId="0" fontId="3" fillId="0" borderId="9" xfId="0" applyFont="1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6" xfId="0" applyFont="1" applyBorder="1"/>
    <xf numFmtId="49" fontId="1" fillId="0" borderId="12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0" xfId="0" applyNumberFormat="1" applyFont="1" applyAlignment="1">
      <alignment horizontal="right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3" xfId="0" applyNumberFormat="1" applyBorder="1"/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/>
    <xf numFmtId="164" fontId="2" fillId="0" borderId="13" xfId="0" applyNumberFormat="1" applyFont="1" applyBorder="1"/>
    <xf numFmtId="164" fontId="1" fillId="0" borderId="5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164" fontId="1" fillId="0" borderId="17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15" xfId="0" applyNumberFormat="1" applyFont="1" applyBorder="1"/>
    <xf numFmtId="164" fontId="1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1" fillId="0" borderId="2" xfId="0" applyNumberFormat="1" applyFont="1" applyBorder="1"/>
    <xf numFmtId="0" fontId="1" fillId="0" borderId="7" xfId="0" applyFont="1" applyFill="1" applyBorder="1"/>
    <xf numFmtId="164" fontId="4" fillId="0" borderId="0" xfId="0" applyNumberFormat="1" applyFont="1"/>
    <xf numFmtId="164" fontId="3" fillId="0" borderId="0" xfId="0" applyNumberFormat="1" applyFont="1"/>
    <xf numFmtId="2" fontId="5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/>
    <xf numFmtId="164" fontId="3" fillId="0" borderId="9" xfId="0" applyNumberFormat="1" applyFont="1" applyBorder="1"/>
    <xf numFmtId="164" fontId="4" fillId="0" borderId="2" xfId="0" applyNumberFormat="1" applyFont="1" applyBorder="1"/>
    <xf numFmtId="164" fontId="1" fillId="0" borderId="19" xfId="0" applyNumberFormat="1" applyFont="1" applyBorder="1"/>
    <xf numFmtId="164" fontId="1" fillId="0" borderId="0" xfId="0" applyNumberFormat="1" applyFont="1" applyAlignment="1">
      <alignment horizontal="center"/>
    </xf>
    <xf numFmtId="164" fontId="3" fillId="0" borderId="7" xfId="0" applyNumberFormat="1" applyFont="1" applyFill="1" applyBorder="1"/>
    <xf numFmtId="0" fontId="1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/>
    <xf numFmtId="164" fontId="1" fillId="0" borderId="7" xfId="0" applyNumberFormat="1" applyFont="1" applyFill="1" applyBorder="1"/>
    <xf numFmtId="164" fontId="1" fillId="0" borderId="9" xfId="0" applyNumberFormat="1" applyFont="1" applyFill="1" applyBorder="1"/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Fill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25" xfId="0" applyFont="1" applyBorder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" xfId="0" applyFont="1" applyBorder="1" applyAlignment="1"/>
    <xf numFmtId="0" fontId="5" fillId="0" borderId="5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2"/>
  <sheetViews>
    <sheetView topLeftCell="A55" workbookViewId="0">
      <selection activeCell="E83" sqref="E83"/>
    </sheetView>
  </sheetViews>
  <sheetFormatPr defaultRowHeight="15.75" x14ac:dyDescent="0.25"/>
  <cols>
    <col min="1" max="1" width="6.85546875" style="30" customWidth="1"/>
    <col min="2" max="2" width="63.5703125" style="2" bestFit="1" customWidth="1"/>
    <col min="3" max="4" width="15.42578125" style="98" bestFit="1" customWidth="1"/>
    <col min="5" max="5" width="14.28515625" style="98" bestFit="1" customWidth="1"/>
    <col min="6" max="16384" width="9.140625" style="2"/>
  </cols>
  <sheetData>
    <row r="1" spans="1:5" x14ac:dyDescent="0.25">
      <c r="A1" s="138" t="s">
        <v>0</v>
      </c>
      <c r="B1" s="138"/>
      <c r="C1" s="138"/>
      <c r="D1" s="138"/>
      <c r="E1" s="138"/>
    </row>
    <row r="2" spans="1:5" s="3" customFormat="1" x14ac:dyDescent="0.25">
      <c r="A2" s="139" t="s">
        <v>1</v>
      </c>
      <c r="B2" s="139"/>
      <c r="C2" s="139"/>
      <c r="D2" s="139"/>
      <c r="E2" s="139"/>
    </row>
    <row r="3" spans="1:5" s="3" customFormat="1" x14ac:dyDescent="0.25">
      <c r="A3" s="139" t="s">
        <v>265</v>
      </c>
      <c r="B3" s="139"/>
      <c r="C3" s="139"/>
      <c r="D3" s="139"/>
      <c r="E3" s="139"/>
    </row>
    <row r="4" spans="1:5" s="3" customFormat="1" x14ac:dyDescent="0.25">
      <c r="A4" s="139" t="s">
        <v>2</v>
      </c>
      <c r="B4" s="139"/>
      <c r="C4" s="139"/>
      <c r="D4" s="139"/>
      <c r="E4" s="139"/>
    </row>
    <row r="5" spans="1:5" s="3" customFormat="1" ht="16.5" thickBot="1" x14ac:dyDescent="0.3">
      <c r="A5" s="4" t="s">
        <v>3</v>
      </c>
      <c r="C5" s="141" t="s">
        <v>257</v>
      </c>
      <c r="D5" s="141"/>
      <c r="E5" s="141"/>
    </row>
    <row r="6" spans="1:5" s="7" customFormat="1" ht="16.5" thickBot="1" x14ac:dyDescent="0.3">
      <c r="A6" s="5" t="s">
        <v>133</v>
      </c>
      <c r="B6" s="6" t="s">
        <v>134</v>
      </c>
      <c r="C6" s="103" t="s">
        <v>135</v>
      </c>
      <c r="D6" s="86" t="s">
        <v>136</v>
      </c>
      <c r="E6" s="87" t="s">
        <v>137</v>
      </c>
    </row>
    <row r="7" spans="1:5" s="3" customFormat="1" ht="32.25" thickBot="1" x14ac:dyDescent="0.3">
      <c r="A7" s="35" t="s">
        <v>5</v>
      </c>
      <c r="B7" s="36" t="s">
        <v>6</v>
      </c>
      <c r="C7" s="104" t="s">
        <v>271</v>
      </c>
      <c r="D7" s="88" t="s">
        <v>272</v>
      </c>
      <c r="E7" s="89" t="s">
        <v>273</v>
      </c>
    </row>
    <row r="8" spans="1:5" s="3" customFormat="1" ht="16.5" thickBot="1" x14ac:dyDescent="0.3">
      <c r="A8" s="9" t="s">
        <v>7</v>
      </c>
      <c r="B8" s="10" t="s">
        <v>8</v>
      </c>
      <c r="C8" s="90">
        <f t="shared" ref="C8:D8" si="0">SUM(C9:C14)</f>
        <v>318806.01399999997</v>
      </c>
      <c r="D8" s="90">
        <f t="shared" si="0"/>
        <v>333402.36299999995</v>
      </c>
      <c r="E8" s="91">
        <f t="shared" ref="E8" si="1">SUM(E9:E14)</f>
        <v>289048.07</v>
      </c>
    </row>
    <row r="9" spans="1:5" x14ac:dyDescent="0.25">
      <c r="A9" s="11" t="s">
        <v>9</v>
      </c>
      <c r="B9" s="12" t="s">
        <v>10</v>
      </c>
      <c r="C9" s="92">
        <v>103168.954</v>
      </c>
      <c r="D9" s="92">
        <v>102362.554</v>
      </c>
      <c r="E9" s="92">
        <v>100842.69</v>
      </c>
    </row>
    <row r="10" spans="1:5" x14ac:dyDescent="0.25">
      <c r="A10" s="13" t="s">
        <v>11</v>
      </c>
      <c r="B10" s="14" t="s">
        <v>12</v>
      </c>
      <c r="C10" s="93">
        <v>72867.107000000004</v>
      </c>
      <c r="D10" s="93">
        <v>74428.417000000001</v>
      </c>
      <c r="E10" s="93">
        <v>76435.8</v>
      </c>
    </row>
    <row r="11" spans="1:5" x14ac:dyDescent="0.25">
      <c r="A11" s="13" t="s">
        <v>13</v>
      </c>
      <c r="B11" s="14" t="s">
        <v>14</v>
      </c>
      <c r="C11" s="93">
        <v>126824.755</v>
      </c>
      <c r="D11" s="93">
        <v>130912.764</v>
      </c>
      <c r="E11" s="93">
        <v>107425.68</v>
      </c>
    </row>
    <row r="12" spans="1:5" x14ac:dyDescent="0.25">
      <c r="A12" s="13" t="s">
        <v>15</v>
      </c>
      <c r="B12" s="14" t="s">
        <v>16</v>
      </c>
      <c r="C12" s="93">
        <v>5055.7719999999999</v>
      </c>
      <c r="D12" s="93">
        <v>5529.91</v>
      </c>
      <c r="E12" s="93">
        <v>4343.8999999999996</v>
      </c>
    </row>
    <row r="13" spans="1:5" x14ac:dyDescent="0.25">
      <c r="A13" s="13" t="s">
        <v>17</v>
      </c>
      <c r="B13" s="14" t="s">
        <v>18</v>
      </c>
      <c r="C13" s="93">
        <v>10889.425999999999</v>
      </c>
      <c r="D13" s="93">
        <v>20168.718000000001</v>
      </c>
      <c r="E13" s="93"/>
    </row>
    <row r="14" spans="1:5" ht="16.5" thickBot="1" x14ac:dyDescent="0.3">
      <c r="A14" s="15" t="s">
        <v>19</v>
      </c>
      <c r="B14" s="16" t="s">
        <v>274</v>
      </c>
      <c r="C14" s="94"/>
      <c r="D14" s="94"/>
      <c r="E14" s="94"/>
    </row>
    <row r="15" spans="1:5" s="3" customFormat="1" ht="16.5" thickBot="1" x14ac:dyDescent="0.3">
      <c r="A15" s="9" t="s">
        <v>20</v>
      </c>
      <c r="B15" s="10" t="s">
        <v>21</v>
      </c>
      <c r="C15" s="90">
        <f t="shared" ref="C15:D15" si="2">SUM(C16:C17)</f>
        <v>226231.609</v>
      </c>
      <c r="D15" s="90">
        <f t="shared" si="2"/>
        <v>173175.967</v>
      </c>
      <c r="E15" s="91">
        <f t="shared" ref="E15" si="3">SUM(E16:E17)</f>
        <v>111583.408</v>
      </c>
    </row>
    <row r="16" spans="1:5" x14ac:dyDescent="0.25">
      <c r="A16" s="11" t="s">
        <v>22</v>
      </c>
      <c r="B16" s="12" t="s">
        <v>23</v>
      </c>
      <c r="C16" s="92"/>
      <c r="D16" s="92"/>
      <c r="E16" s="92"/>
    </row>
    <row r="17" spans="1:5" x14ac:dyDescent="0.25">
      <c r="A17" s="13" t="s">
        <v>24</v>
      </c>
      <c r="B17" s="14" t="s">
        <v>25</v>
      </c>
      <c r="C17" s="93">
        <v>226231.609</v>
      </c>
      <c r="D17" s="93">
        <v>173175.967</v>
      </c>
      <c r="E17" s="93">
        <v>111583.408</v>
      </c>
    </row>
    <row r="18" spans="1:5" ht="16.5" thickBot="1" x14ac:dyDescent="0.3">
      <c r="A18" s="15" t="s">
        <v>26</v>
      </c>
      <c r="B18" s="16" t="s">
        <v>27</v>
      </c>
      <c r="C18" s="94">
        <v>95859.937000000005</v>
      </c>
      <c r="D18" s="94">
        <v>59232.14</v>
      </c>
      <c r="E18" s="94">
        <v>20830.810000000001</v>
      </c>
    </row>
    <row r="19" spans="1:5" s="3" customFormat="1" ht="16.5" thickBot="1" x14ac:dyDescent="0.3">
      <c r="A19" s="9" t="s">
        <v>28</v>
      </c>
      <c r="B19" s="10" t="s">
        <v>29</v>
      </c>
      <c r="C19" s="90">
        <f>SUM(C20:C21)</f>
        <v>304705.74700000003</v>
      </c>
      <c r="D19" s="90">
        <f>SUM(D20:D21)</f>
        <v>223437</v>
      </c>
      <c r="E19" s="91">
        <f>SUM(E20:E21)</f>
        <v>117562.95</v>
      </c>
    </row>
    <row r="20" spans="1:5" x14ac:dyDescent="0.25">
      <c r="A20" s="11" t="s">
        <v>30</v>
      </c>
      <c r="B20" s="12" t="s">
        <v>31</v>
      </c>
      <c r="C20" s="92">
        <v>13752.183999999999</v>
      </c>
      <c r="D20" s="92">
        <v>15000</v>
      </c>
      <c r="E20" s="92"/>
    </row>
    <row r="21" spans="1:5" x14ac:dyDescent="0.25">
      <c r="A21" s="13" t="s">
        <v>32</v>
      </c>
      <c r="B21" s="14" t="s">
        <v>33</v>
      </c>
      <c r="C21" s="93">
        <v>290953.56300000002</v>
      </c>
      <c r="D21" s="93">
        <v>208437</v>
      </c>
      <c r="E21" s="93">
        <v>117562.95</v>
      </c>
    </row>
    <row r="22" spans="1:5" ht="16.5" thickBot="1" x14ac:dyDescent="0.3">
      <c r="A22" s="15" t="s">
        <v>34</v>
      </c>
      <c r="B22" s="16" t="s">
        <v>35</v>
      </c>
      <c r="C22" s="94">
        <v>285619.674</v>
      </c>
      <c r="D22" s="94">
        <v>207109.965</v>
      </c>
      <c r="E22" s="94">
        <v>115562.95</v>
      </c>
    </row>
    <row r="23" spans="1:5" s="3" customFormat="1" ht="16.5" thickBot="1" x14ac:dyDescent="0.3">
      <c r="A23" s="9" t="s">
        <v>36</v>
      </c>
      <c r="B23" s="10" t="s">
        <v>37</v>
      </c>
      <c r="C23" s="90">
        <f>C24+C27+C28+C29</f>
        <v>102871.45599999999</v>
      </c>
      <c r="D23" s="90">
        <f>D24+D27+D28+D29</f>
        <v>114533.37999999999</v>
      </c>
      <c r="E23" s="91">
        <f>E24+E27+E28+E29</f>
        <v>118432</v>
      </c>
    </row>
    <row r="24" spans="1:5" x14ac:dyDescent="0.25">
      <c r="A24" s="11" t="s">
        <v>38</v>
      </c>
      <c r="B24" s="12" t="s">
        <v>276</v>
      </c>
      <c r="C24" s="95">
        <f>C25++C26</f>
        <v>91027.471999999994</v>
      </c>
      <c r="D24" s="95">
        <f>D25++D26</f>
        <v>102121.03599999999</v>
      </c>
      <c r="E24" s="118">
        <f>E25++E26</f>
        <v>106050</v>
      </c>
    </row>
    <row r="25" spans="1:5" x14ac:dyDescent="0.25">
      <c r="A25" s="13" t="s">
        <v>39</v>
      </c>
      <c r="B25" s="14" t="s">
        <v>275</v>
      </c>
      <c r="C25" s="93">
        <v>44.430999999999997</v>
      </c>
      <c r="D25" s="93">
        <v>90.048000000000002</v>
      </c>
      <c r="E25" s="93">
        <v>50</v>
      </c>
    </row>
    <row r="26" spans="1:5" x14ac:dyDescent="0.25">
      <c r="A26" s="13" t="s">
        <v>40</v>
      </c>
      <c r="B26" s="14" t="s">
        <v>41</v>
      </c>
      <c r="C26" s="93">
        <v>90983.040999999997</v>
      </c>
      <c r="D26" s="93">
        <v>102030.988</v>
      </c>
      <c r="E26" s="93">
        <v>106000</v>
      </c>
    </row>
    <row r="27" spans="1:5" x14ac:dyDescent="0.25">
      <c r="A27" s="13" t="s">
        <v>42</v>
      </c>
      <c r="B27" s="14" t="s">
        <v>43</v>
      </c>
      <c r="C27" s="93">
        <v>10605.653</v>
      </c>
      <c r="D27" s="93">
        <v>11024.617</v>
      </c>
      <c r="E27" s="93">
        <v>11000</v>
      </c>
    </row>
    <row r="28" spans="1:5" x14ac:dyDescent="0.25">
      <c r="A28" s="13" t="s">
        <v>44</v>
      </c>
      <c r="B28" s="14" t="s">
        <v>277</v>
      </c>
      <c r="C28" s="93">
        <v>5.2</v>
      </c>
      <c r="D28" s="93">
        <v>1.4</v>
      </c>
      <c r="E28" s="93">
        <v>2</v>
      </c>
    </row>
    <row r="29" spans="1:5" ht="16.5" thickBot="1" x14ac:dyDescent="0.3">
      <c r="A29" s="15" t="s">
        <v>46</v>
      </c>
      <c r="B29" s="16" t="s">
        <v>47</v>
      </c>
      <c r="C29" s="94">
        <v>1233.1310000000001</v>
      </c>
      <c r="D29" s="94">
        <v>1386.327</v>
      </c>
      <c r="E29" s="94">
        <v>1380</v>
      </c>
    </row>
    <row r="30" spans="1:5" s="3" customFormat="1" ht="16.5" thickBot="1" x14ac:dyDescent="0.3">
      <c r="A30" s="9" t="s">
        <v>48</v>
      </c>
      <c r="B30" s="10" t="s">
        <v>49</v>
      </c>
      <c r="C30" s="96">
        <v>82451.45</v>
      </c>
      <c r="D30" s="96">
        <v>69031.592000000004</v>
      </c>
      <c r="E30" s="97">
        <v>66433.5</v>
      </c>
    </row>
    <row r="31" spans="1:5" s="3" customFormat="1" ht="16.5" thickBot="1" x14ac:dyDescent="0.3">
      <c r="A31" s="17" t="s">
        <v>50</v>
      </c>
      <c r="B31" s="18" t="s">
        <v>51</v>
      </c>
      <c r="C31" s="96">
        <v>82.677000000000007</v>
      </c>
      <c r="D31" s="96"/>
      <c r="E31" s="97"/>
    </row>
    <row r="32" spans="1:5" s="3" customFormat="1" ht="16.5" thickBot="1" x14ac:dyDescent="0.3">
      <c r="A32" s="9" t="s">
        <v>52</v>
      </c>
      <c r="B32" s="10" t="s">
        <v>138</v>
      </c>
      <c r="C32" s="96">
        <v>263.608</v>
      </c>
      <c r="D32" s="96">
        <v>258</v>
      </c>
      <c r="E32" s="97">
        <v>258</v>
      </c>
    </row>
    <row r="33" spans="1:5" s="3" customFormat="1" ht="16.5" thickBot="1" x14ac:dyDescent="0.3">
      <c r="A33" s="9" t="s">
        <v>53</v>
      </c>
      <c r="B33" s="10" t="s">
        <v>54</v>
      </c>
      <c r="C33" s="96">
        <v>55.8</v>
      </c>
      <c r="D33" s="96"/>
      <c r="E33" s="97"/>
    </row>
    <row r="34" spans="1:5" s="3" customFormat="1" ht="16.5" thickBot="1" x14ac:dyDescent="0.3">
      <c r="A34" s="25" t="s">
        <v>55</v>
      </c>
      <c r="B34" s="74" t="s">
        <v>56</v>
      </c>
      <c r="C34" s="90">
        <f>C8+C15+C19+C23+C30+C31+C32+C33</f>
        <v>1035468.3609999999</v>
      </c>
      <c r="D34" s="90">
        <f>D8+D15+D19+D23+D30+D31+D32+D33</f>
        <v>913838.30199999991</v>
      </c>
      <c r="E34" s="97">
        <f>E8+E15+E19+E23+E30+E31+E32+E33</f>
        <v>703317.92800000007</v>
      </c>
    </row>
    <row r="35" spans="1:5" s="3" customFormat="1" ht="16.5" thickBot="1" x14ac:dyDescent="0.3">
      <c r="A35" s="9" t="s">
        <v>57</v>
      </c>
      <c r="B35" s="10" t="s">
        <v>58</v>
      </c>
      <c r="C35" s="90">
        <f t="shared" ref="C35" si="4">SUM(C36:C38)</f>
        <v>0</v>
      </c>
      <c r="D35" s="90">
        <f>D36</f>
        <v>37243.444000000003</v>
      </c>
      <c r="E35" s="97">
        <f t="shared" ref="E35" si="5">SUM(E36:E38)</f>
        <v>0</v>
      </c>
    </row>
    <row r="36" spans="1:5" x14ac:dyDescent="0.25">
      <c r="A36" s="11" t="s">
        <v>59</v>
      </c>
      <c r="B36" s="12" t="s">
        <v>269</v>
      </c>
      <c r="C36" s="92"/>
      <c r="D36" s="92">
        <v>37243.444000000003</v>
      </c>
      <c r="E36" s="92"/>
    </row>
    <row r="37" spans="1:5" x14ac:dyDescent="0.25">
      <c r="A37" s="13" t="s">
        <v>60</v>
      </c>
      <c r="B37" s="14" t="s">
        <v>61</v>
      </c>
      <c r="C37" s="93"/>
      <c r="D37" s="93"/>
      <c r="E37" s="93"/>
    </row>
    <row r="38" spans="1:5" ht="16.5" thickBot="1" x14ac:dyDescent="0.3">
      <c r="A38" s="15" t="s">
        <v>62</v>
      </c>
      <c r="B38" s="16" t="s">
        <v>63</v>
      </c>
      <c r="C38" s="94"/>
      <c r="D38" s="94"/>
      <c r="E38" s="94"/>
    </row>
    <row r="39" spans="1:5" s="3" customFormat="1" ht="16.5" thickBot="1" x14ac:dyDescent="0.3">
      <c r="A39" s="9" t="s">
        <v>64</v>
      </c>
      <c r="B39" s="10" t="s">
        <v>65</v>
      </c>
      <c r="C39" s="96"/>
      <c r="D39" s="96"/>
      <c r="E39" s="97"/>
    </row>
    <row r="40" spans="1:5" s="3" customFormat="1" ht="16.5" thickBot="1" x14ac:dyDescent="0.3">
      <c r="A40" s="9" t="s">
        <v>66</v>
      </c>
      <c r="B40" s="10" t="s">
        <v>280</v>
      </c>
      <c r="C40" s="96">
        <v>128446.429</v>
      </c>
      <c r="D40" s="96">
        <v>464614.65600000002</v>
      </c>
      <c r="E40" s="97">
        <v>659949.11</v>
      </c>
    </row>
    <row r="41" spans="1:5" s="3" customFormat="1" ht="16.5" thickBot="1" x14ac:dyDescent="0.3">
      <c r="A41" s="25" t="s">
        <v>67</v>
      </c>
      <c r="B41" s="74" t="s">
        <v>68</v>
      </c>
      <c r="C41" s="90">
        <f t="shared" ref="C41:D41" si="6">C42+C43</f>
        <v>10927.733</v>
      </c>
      <c r="D41" s="90">
        <f t="shared" si="6"/>
        <v>10031.323</v>
      </c>
      <c r="E41" s="97">
        <f t="shared" ref="E41" si="7">E42+E43</f>
        <v>0</v>
      </c>
    </row>
    <row r="42" spans="1:5" x14ac:dyDescent="0.25">
      <c r="A42" s="11" t="s">
        <v>69</v>
      </c>
      <c r="B42" s="12" t="s">
        <v>70</v>
      </c>
      <c r="C42" s="92">
        <v>10927.733</v>
      </c>
      <c r="D42" s="92">
        <v>10031.323</v>
      </c>
      <c r="E42" s="92"/>
    </row>
    <row r="43" spans="1:5" ht="16.5" thickBot="1" x14ac:dyDescent="0.3">
      <c r="A43" s="15" t="s">
        <v>71</v>
      </c>
      <c r="B43" s="16" t="s">
        <v>72</v>
      </c>
      <c r="C43" s="94"/>
      <c r="D43" s="94"/>
      <c r="E43" s="94"/>
    </row>
    <row r="44" spans="1:5" s="3" customFormat="1" ht="16.5" thickBot="1" x14ac:dyDescent="0.3">
      <c r="A44" s="9" t="s">
        <v>73</v>
      </c>
      <c r="B44" s="10" t="s">
        <v>74</v>
      </c>
      <c r="C44" s="96"/>
      <c r="D44" s="96"/>
      <c r="E44" s="97"/>
    </row>
    <row r="45" spans="1:5" s="3" customFormat="1" ht="16.5" thickBot="1" x14ac:dyDescent="0.3">
      <c r="A45" s="9" t="s">
        <v>75</v>
      </c>
      <c r="B45" s="10" t="s">
        <v>76</v>
      </c>
      <c r="C45" s="96"/>
      <c r="D45" s="96"/>
      <c r="E45" s="97"/>
    </row>
    <row r="46" spans="1:5" s="3" customFormat="1" ht="16.5" thickBot="1" x14ac:dyDescent="0.3">
      <c r="A46" s="9" t="s">
        <v>77</v>
      </c>
      <c r="B46" s="10" t="s">
        <v>78</v>
      </c>
      <c r="C46" s="96"/>
      <c r="D46" s="96"/>
      <c r="E46" s="97"/>
    </row>
    <row r="47" spans="1:5" s="3" customFormat="1" ht="16.5" thickBot="1" x14ac:dyDescent="0.3">
      <c r="A47" s="9" t="s">
        <v>79</v>
      </c>
      <c r="B47" s="10" t="s">
        <v>80</v>
      </c>
      <c r="C47" s="90">
        <f t="shared" ref="C47:D47" si="8">C35+C39+C40+C41+C44+C45+C46</f>
        <v>139374.16200000001</v>
      </c>
      <c r="D47" s="90">
        <f t="shared" si="8"/>
        <v>511889.42300000001</v>
      </c>
      <c r="E47" s="97">
        <f t="shared" ref="E47" si="9">E35+E39+E40+E41+E44+E45+E46</f>
        <v>659949.11</v>
      </c>
    </row>
    <row r="48" spans="1:5" s="3" customFormat="1" ht="32.25" thickBot="1" x14ac:dyDescent="0.3">
      <c r="A48" s="9" t="s">
        <v>81</v>
      </c>
      <c r="B48" s="19" t="s">
        <v>82</v>
      </c>
      <c r="C48" s="90">
        <f t="shared" ref="C48:D48" si="10">C34+C47</f>
        <v>1174842.523</v>
      </c>
      <c r="D48" s="90">
        <f t="shared" si="10"/>
        <v>1425727.7249999999</v>
      </c>
      <c r="E48" s="97">
        <f t="shared" ref="E48" si="11">E34+E47</f>
        <v>1363267.0380000002</v>
      </c>
    </row>
    <row r="50" spans="1:5" x14ac:dyDescent="0.25">
      <c r="A50" s="139" t="s">
        <v>83</v>
      </c>
      <c r="B50" s="139"/>
      <c r="C50" s="139"/>
    </row>
    <row r="51" spans="1:5" ht="16.5" thickBot="1" x14ac:dyDescent="0.3">
      <c r="A51" s="4" t="s">
        <v>84</v>
      </c>
      <c r="B51" s="3"/>
      <c r="C51" s="141" t="s">
        <v>257</v>
      </c>
      <c r="D51" s="141"/>
      <c r="E51" s="141"/>
    </row>
    <row r="52" spans="1:5" ht="32.25" thickBot="1" x14ac:dyDescent="0.3">
      <c r="A52" s="20" t="s">
        <v>5</v>
      </c>
      <c r="B52" s="10" t="s">
        <v>85</v>
      </c>
      <c r="C52" s="104" t="s">
        <v>271</v>
      </c>
      <c r="D52" s="88" t="s">
        <v>272</v>
      </c>
      <c r="E52" s="89" t="s">
        <v>273</v>
      </c>
    </row>
    <row r="53" spans="1:5" ht="16.5" thickBot="1" x14ac:dyDescent="0.3">
      <c r="A53" s="9" t="s">
        <v>7</v>
      </c>
      <c r="B53" s="10" t="s">
        <v>86</v>
      </c>
      <c r="C53" s="90">
        <f>C54+C55+C56+C57+C58+C64</f>
        <v>634491.69999999995</v>
      </c>
      <c r="D53" s="90">
        <f>D54+D55+D56+D57+D58+D64</f>
        <v>688046.96799999988</v>
      </c>
      <c r="E53" s="97">
        <f>E54+E55+E56+E57+E58+E64</f>
        <v>743505.853</v>
      </c>
    </row>
    <row r="54" spans="1:5" x14ac:dyDescent="0.25">
      <c r="A54" s="21" t="s">
        <v>9</v>
      </c>
      <c r="B54" s="12" t="s">
        <v>87</v>
      </c>
      <c r="C54" s="92">
        <v>340893.087</v>
      </c>
      <c r="D54" s="92">
        <v>352239.31099999999</v>
      </c>
      <c r="E54" s="92">
        <v>351143.73</v>
      </c>
    </row>
    <row r="55" spans="1:5" x14ac:dyDescent="0.25">
      <c r="A55" s="22" t="s">
        <v>11</v>
      </c>
      <c r="B55" s="14" t="s">
        <v>88</v>
      </c>
      <c r="C55" s="93">
        <v>66862.856</v>
      </c>
      <c r="D55" s="93">
        <v>62803.442999999999</v>
      </c>
      <c r="E55" s="93">
        <v>63075.248</v>
      </c>
    </row>
    <row r="56" spans="1:5" x14ac:dyDescent="0.25">
      <c r="A56" s="22" t="s">
        <v>13</v>
      </c>
      <c r="B56" s="14" t="s">
        <v>89</v>
      </c>
      <c r="C56" s="93">
        <v>187724.14199999999</v>
      </c>
      <c r="D56" s="93">
        <v>230176.66899999999</v>
      </c>
      <c r="E56" s="93">
        <v>248725.177</v>
      </c>
    </row>
    <row r="57" spans="1:5" x14ac:dyDescent="0.25">
      <c r="A57" s="22" t="s">
        <v>15</v>
      </c>
      <c r="B57" s="14" t="s">
        <v>278</v>
      </c>
      <c r="C57" s="93">
        <v>10422.843999999999</v>
      </c>
      <c r="D57" s="93">
        <v>9987.6949999999997</v>
      </c>
      <c r="E57" s="93">
        <v>5300</v>
      </c>
    </row>
    <row r="58" spans="1:5" x14ac:dyDescent="0.25">
      <c r="A58" s="22" t="s">
        <v>17</v>
      </c>
      <c r="B58" s="14" t="s">
        <v>90</v>
      </c>
      <c r="C58" s="93">
        <f>SUM(C59:C63)</f>
        <v>28588.771000000001</v>
      </c>
      <c r="D58" s="93">
        <f>SUM(D59:D63)</f>
        <v>32839.85</v>
      </c>
      <c r="E58" s="93">
        <f>SUM(E59:E63)</f>
        <v>44118.303</v>
      </c>
    </row>
    <row r="59" spans="1:5" x14ac:dyDescent="0.25">
      <c r="A59" s="22" t="s">
        <v>19</v>
      </c>
      <c r="B59" s="23" t="s">
        <v>279</v>
      </c>
      <c r="C59" s="93">
        <v>1052.1099999999999</v>
      </c>
      <c r="D59" s="93">
        <v>2705.4119999999998</v>
      </c>
      <c r="E59" s="93"/>
    </row>
    <row r="60" spans="1:5" x14ac:dyDescent="0.25">
      <c r="A60" s="22" t="s">
        <v>91</v>
      </c>
      <c r="B60" s="14" t="s">
        <v>92</v>
      </c>
      <c r="C60" s="93"/>
      <c r="D60" s="93"/>
      <c r="E60" s="93"/>
    </row>
    <row r="61" spans="1:5" x14ac:dyDescent="0.25">
      <c r="A61" s="22" t="s">
        <v>93</v>
      </c>
      <c r="B61" s="14" t="s">
        <v>94</v>
      </c>
      <c r="C61" s="93"/>
      <c r="D61" s="93"/>
      <c r="E61" s="93"/>
    </row>
    <row r="62" spans="1:5" x14ac:dyDescent="0.25">
      <c r="A62" s="22" t="s">
        <v>95</v>
      </c>
      <c r="B62" s="14" t="s">
        <v>96</v>
      </c>
      <c r="C62" s="93">
        <v>3405.1889999999999</v>
      </c>
      <c r="D62" s="93">
        <v>4358.6099999999997</v>
      </c>
      <c r="E62" s="93">
        <v>22284.203000000001</v>
      </c>
    </row>
    <row r="63" spans="1:5" x14ac:dyDescent="0.25">
      <c r="A63" s="22" t="s">
        <v>97</v>
      </c>
      <c r="B63" s="14" t="s">
        <v>98</v>
      </c>
      <c r="C63" s="93">
        <v>24131.472000000002</v>
      </c>
      <c r="D63" s="93">
        <v>25775.828000000001</v>
      </c>
      <c r="E63" s="93">
        <v>21834.1</v>
      </c>
    </row>
    <row r="64" spans="1:5" x14ac:dyDescent="0.25">
      <c r="A64" s="22" t="s">
        <v>99</v>
      </c>
      <c r="B64" s="14" t="s">
        <v>100</v>
      </c>
      <c r="C64" s="93"/>
      <c r="D64" s="93"/>
      <c r="E64" s="93">
        <f>E65+E66</f>
        <v>31143.394999999997</v>
      </c>
    </row>
    <row r="65" spans="1:5" x14ac:dyDescent="0.25">
      <c r="A65" s="22" t="s">
        <v>101</v>
      </c>
      <c r="B65" s="14" t="s">
        <v>102</v>
      </c>
      <c r="C65" s="93"/>
      <c r="D65" s="93"/>
      <c r="E65" s="93">
        <v>5778.0079999999998</v>
      </c>
    </row>
    <row r="66" spans="1:5" ht="16.5" thickBot="1" x14ac:dyDescent="0.3">
      <c r="A66" s="24" t="s">
        <v>103</v>
      </c>
      <c r="B66" s="16" t="s">
        <v>104</v>
      </c>
      <c r="C66" s="94"/>
      <c r="D66" s="94"/>
      <c r="E66" s="94">
        <v>25365.386999999999</v>
      </c>
    </row>
    <row r="67" spans="1:5" ht="16.5" thickBot="1" x14ac:dyDescent="0.3">
      <c r="A67" s="9" t="s">
        <v>20</v>
      </c>
      <c r="B67" s="10" t="s">
        <v>105</v>
      </c>
      <c r="C67" s="90">
        <f>C68+C70+C72</f>
        <v>65125.913</v>
      </c>
      <c r="D67" s="90">
        <f>D68+D70+D72</f>
        <v>43854.653999999995</v>
      </c>
      <c r="E67" s="97">
        <f t="shared" ref="E67" si="12">E68+E70+E72</f>
        <v>604409.86200000008</v>
      </c>
    </row>
    <row r="68" spans="1:5" x14ac:dyDescent="0.25">
      <c r="A68" s="21" t="s">
        <v>22</v>
      </c>
      <c r="B68" s="12" t="s">
        <v>106</v>
      </c>
      <c r="C68" s="92">
        <v>23584.964</v>
      </c>
      <c r="D68" s="92">
        <v>18743.154999999999</v>
      </c>
      <c r="E68" s="92">
        <v>575368.06200000003</v>
      </c>
    </row>
    <row r="69" spans="1:5" x14ac:dyDescent="0.25">
      <c r="A69" s="22" t="s">
        <v>107</v>
      </c>
      <c r="B69" s="14" t="s">
        <v>108</v>
      </c>
      <c r="C69" s="93"/>
      <c r="D69" s="93"/>
      <c r="E69" s="131" t="s">
        <v>281</v>
      </c>
    </row>
    <row r="70" spans="1:5" x14ac:dyDescent="0.25">
      <c r="A70" s="22" t="s">
        <v>26</v>
      </c>
      <c r="B70" s="14" t="s">
        <v>109</v>
      </c>
      <c r="C70" s="93">
        <v>38415.455999999998</v>
      </c>
      <c r="D70" s="93">
        <v>25111.499</v>
      </c>
      <c r="E70" s="93">
        <v>28041.8</v>
      </c>
    </row>
    <row r="71" spans="1:5" x14ac:dyDescent="0.25">
      <c r="A71" s="22" t="s">
        <v>110</v>
      </c>
      <c r="B71" s="14" t="s">
        <v>111</v>
      </c>
      <c r="C71" s="93"/>
      <c r="D71" s="93"/>
      <c r="E71" s="93">
        <v>23859</v>
      </c>
    </row>
    <row r="72" spans="1:5" x14ac:dyDescent="0.25">
      <c r="A72" s="22" t="s">
        <v>112</v>
      </c>
      <c r="B72" s="14" t="s">
        <v>113</v>
      </c>
      <c r="C72" s="93">
        <f>SUM(C73:C74)</f>
        <v>3125.4929999999999</v>
      </c>
      <c r="D72" s="93">
        <f t="shared" ref="D72:E72" si="13">SUM(D73:D74)</f>
        <v>0</v>
      </c>
      <c r="E72" s="93">
        <f t="shared" si="13"/>
        <v>1000</v>
      </c>
    </row>
    <row r="73" spans="1:5" x14ac:dyDescent="0.25">
      <c r="A73" s="22" t="s">
        <v>114</v>
      </c>
      <c r="B73" s="14" t="s">
        <v>115</v>
      </c>
      <c r="C73" s="93">
        <v>3124.5479999999998</v>
      </c>
      <c r="D73" s="93"/>
      <c r="E73" s="93"/>
    </row>
    <row r="74" spans="1:5" ht="16.5" thickBot="1" x14ac:dyDescent="0.3">
      <c r="A74" s="24" t="s">
        <v>116</v>
      </c>
      <c r="B74" s="16" t="s">
        <v>117</v>
      </c>
      <c r="C74" s="94">
        <v>0.94499999999999995</v>
      </c>
      <c r="D74" s="94"/>
      <c r="E74" s="94">
        <v>1000</v>
      </c>
    </row>
    <row r="75" spans="1:5" ht="16.5" thickBot="1" x14ac:dyDescent="0.3">
      <c r="A75" s="9" t="s">
        <v>28</v>
      </c>
      <c r="B75" s="10" t="s">
        <v>118</v>
      </c>
      <c r="C75" s="90">
        <f t="shared" ref="C75" si="14">C53+C67</f>
        <v>699617.6129999999</v>
      </c>
      <c r="D75" s="90">
        <f t="shared" ref="D75:E75" si="15">D53+D67</f>
        <v>731901.62199999986</v>
      </c>
      <c r="E75" s="97">
        <f t="shared" si="15"/>
        <v>1347915.7150000001</v>
      </c>
    </row>
    <row r="76" spans="1:5" ht="16.5" thickBot="1" x14ac:dyDescent="0.3">
      <c r="A76" s="9" t="s">
        <v>36</v>
      </c>
      <c r="B76" s="10" t="s">
        <v>119</v>
      </c>
      <c r="C76" s="90">
        <f t="shared" ref="C76" si="16">SUM(C77:C79)</f>
        <v>0</v>
      </c>
      <c r="D76" s="90">
        <f t="shared" ref="D76:E76" si="17">SUM(D77:D79)</f>
        <v>0</v>
      </c>
      <c r="E76" s="97">
        <f t="shared" si="17"/>
        <v>5320</v>
      </c>
    </row>
    <row r="77" spans="1:5" x14ac:dyDescent="0.25">
      <c r="A77" s="21" t="s">
        <v>38</v>
      </c>
      <c r="B77" s="12" t="s">
        <v>120</v>
      </c>
      <c r="C77" s="92"/>
      <c r="D77" s="92"/>
      <c r="E77" s="92">
        <v>5320</v>
      </c>
    </row>
    <row r="78" spans="1:5" x14ac:dyDescent="0.25">
      <c r="A78" s="22" t="s">
        <v>42</v>
      </c>
      <c r="B78" s="14" t="s">
        <v>121</v>
      </c>
      <c r="C78" s="93"/>
      <c r="D78" s="93"/>
      <c r="E78" s="93"/>
    </row>
    <row r="79" spans="1:5" ht="16.5" thickBot="1" x14ac:dyDescent="0.3">
      <c r="A79" s="24" t="s">
        <v>44</v>
      </c>
      <c r="B79" s="16" t="s">
        <v>122</v>
      </c>
      <c r="C79" s="94"/>
      <c r="D79" s="94"/>
      <c r="E79" s="94"/>
    </row>
    <row r="80" spans="1:5" ht="16.5" thickBot="1" x14ac:dyDescent="0.3">
      <c r="A80" s="25" t="s">
        <v>48</v>
      </c>
      <c r="B80" s="26" t="s">
        <v>123</v>
      </c>
      <c r="C80" s="99"/>
      <c r="D80" s="99"/>
      <c r="E80" s="100"/>
    </row>
    <row r="81" spans="1:5" ht="16.5" thickBot="1" x14ac:dyDescent="0.3">
      <c r="A81" s="9" t="s">
        <v>50</v>
      </c>
      <c r="B81" s="75" t="s">
        <v>124</v>
      </c>
      <c r="C81" s="90">
        <f t="shared" ref="C81:E81" si="18">C82</f>
        <v>10610.254000000001</v>
      </c>
      <c r="D81" s="90">
        <f t="shared" si="18"/>
        <v>10927.733</v>
      </c>
      <c r="E81" s="97">
        <f t="shared" si="18"/>
        <v>10031.323</v>
      </c>
    </row>
    <row r="82" spans="1:5" ht="16.5" thickBot="1" x14ac:dyDescent="0.3">
      <c r="A82" s="27" t="s">
        <v>125</v>
      </c>
      <c r="B82" s="28" t="s">
        <v>126</v>
      </c>
      <c r="C82" s="101">
        <v>10610.254000000001</v>
      </c>
      <c r="D82" s="101">
        <v>10927.733</v>
      </c>
      <c r="E82" s="101">
        <v>10031.323</v>
      </c>
    </row>
    <row r="83" spans="1:5" ht="16.5" thickBot="1" x14ac:dyDescent="0.3">
      <c r="A83" s="9" t="s">
        <v>52</v>
      </c>
      <c r="B83" s="10" t="s">
        <v>127</v>
      </c>
      <c r="C83" s="99"/>
      <c r="D83" s="99"/>
      <c r="E83" s="100"/>
    </row>
    <row r="84" spans="1:5" ht="16.5" thickBot="1" x14ac:dyDescent="0.3">
      <c r="A84" s="9" t="s">
        <v>53</v>
      </c>
      <c r="B84" s="10" t="s">
        <v>128</v>
      </c>
      <c r="C84" s="99"/>
      <c r="D84" s="99"/>
      <c r="E84" s="100"/>
    </row>
    <row r="85" spans="1:5" ht="16.5" thickBot="1" x14ac:dyDescent="0.3">
      <c r="A85" s="9" t="s">
        <v>129</v>
      </c>
      <c r="B85" s="10" t="s">
        <v>130</v>
      </c>
      <c r="C85" s="99"/>
      <c r="D85" s="99"/>
      <c r="E85" s="100"/>
    </row>
    <row r="86" spans="1:5" ht="16.5" thickBot="1" x14ac:dyDescent="0.3">
      <c r="A86" s="9" t="s">
        <v>57</v>
      </c>
      <c r="B86" s="10" t="s">
        <v>131</v>
      </c>
      <c r="C86" s="90">
        <f t="shared" ref="C86" si="19">C76+C80+C81+C83+C84+C85</f>
        <v>10610.254000000001</v>
      </c>
      <c r="D86" s="90">
        <f t="shared" ref="D86:E86" si="20">D76+D80+D81+D83+D84+D85</f>
        <v>10927.733</v>
      </c>
      <c r="E86" s="97">
        <f t="shared" si="20"/>
        <v>15351.323</v>
      </c>
    </row>
    <row r="87" spans="1:5" ht="16.5" thickBot="1" x14ac:dyDescent="0.3">
      <c r="A87" s="9" t="s">
        <v>64</v>
      </c>
      <c r="B87" s="10" t="s">
        <v>132</v>
      </c>
      <c r="C87" s="90">
        <f t="shared" ref="C87:D87" si="21">C75+C86</f>
        <v>710227.86699999985</v>
      </c>
      <c r="D87" s="90">
        <f t="shared" si="21"/>
        <v>742829.35499999986</v>
      </c>
      <c r="E87" s="97">
        <f>E75+E86</f>
        <v>1363267.0380000002</v>
      </c>
    </row>
    <row r="89" spans="1:5" s="29" customFormat="1" ht="29.25" customHeight="1" x14ac:dyDescent="0.25">
      <c r="A89" s="140"/>
      <c r="B89" s="140"/>
      <c r="C89" s="140"/>
      <c r="D89" s="102"/>
      <c r="E89" s="102"/>
    </row>
    <row r="90" spans="1:5" x14ac:dyDescent="0.25">
      <c r="A90" s="31"/>
      <c r="B90" s="32"/>
      <c r="C90" s="105"/>
    </row>
    <row r="91" spans="1:5" x14ac:dyDescent="0.25">
      <c r="A91" s="33"/>
      <c r="B91" s="34"/>
      <c r="C91" s="106"/>
    </row>
    <row r="92" spans="1:5" x14ac:dyDescent="0.25">
      <c r="A92" s="33"/>
      <c r="B92" s="34"/>
      <c r="C92" s="106"/>
    </row>
  </sheetData>
  <mergeCells count="8">
    <mergeCell ref="A1:E1"/>
    <mergeCell ref="A50:C50"/>
    <mergeCell ref="A89:C89"/>
    <mergeCell ref="A2:E2"/>
    <mergeCell ref="A3:E3"/>
    <mergeCell ref="A4:E4"/>
    <mergeCell ref="C5:E5"/>
    <mergeCell ref="C51:E51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view="pageBreakPreview" zoomScaleNormal="100" zoomScaleSheetLayoutView="100" workbookViewId="0">
      <selection activeCell="D17" sqref="D17:I17"/>
    </sheetView>
  </sheetViews>
  <sheetFormatPr defaultRowHeight="15.75" x14ac:dyDescent="0.25"/>
  <cols>
    <col min="1" max="1" width="5.28515625" style="130" bestFit="1" customWidth="1"/>
    <col min="2" max="2" width="43.42578125" style="2" customWidth="1"/>
    <col min="3" max="3" width="9.140625" style="2"/>
    <col min="4" max="4" width="11.28515625" style="2" bestFit="1" customWidth="1"/>
    <col min="5" max="6" width="12.42578125" style="2" bestFit="1" customWidth="1"/>
    <col min="7" max="7" width="11.28515625" style="2" bestFit="1" customWidth="1"/>
    <col min="8" max="8" width="10.140625" style="2" bestFit="1" customWidth="1"/>
    <col min="9" max="9" width="17" style="2" bestFit="1" customWidth="1"/>
    <col min="10" max="10" width="12.42578125" style="98" bestFit="1" customWidth="1"/>
    <col min="11" max="11" width="15.5703125" style="98" bestFit="1" customWidth="1"/>
    <col min="12" max="16384" width="9.140625" style="2"/>
  </cols>
  <sheetData>
    <row r="1" spans="1:11" x14ac:dyDescent="0.25">
      <c r="A1" s="145" t="s">
        <v>154</v>
      </c>
      <c r="B1" s="145"/>
      <c r="C1" s="145"/>
      <c r="D1" s="145"/>
      <c r="E1" s="145"/>
      <c r="F1" s="145"/>
      <c r="G1" s="145"/>
      <c r="H1" s="145"/>
      <c r="I1" s="145"/>
    </row>
    <row r="2" spans="1:1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</row>
    <row r="3" spans="1:11" x14ac:dyDescent="0.25">
      <c r="A3" s="146" t="s">
        <v>139</v>
      </c>
      <c r="B3" s="146"/>
      <c r="C3" s="146"/>
      <c r="D3" s="146"/>
      <c r="E3" s="146"/>
      <c r="F3" s="146"/>
      <c r="G3" s="146"/>
      <c r="H3" s="146"/>
      <c r="I3" s="146"/>
    </row>
    <row r="5" spans="1:11" ht="16.5" thickBot="1" x14ac:dyDescent="0.3">
      <c r="A5" s="145" t="s">
        <v>258</v>
      </c>
      <c r="B5" s="145"/>
      <c r="C5" s="145"/>
      <c r="D5" s="145"/>
      <c r="E5" s="145"/>
      <c r="F5" s="145"/>
      <c r="G5" s="145"/>
      <c r="H5" s="145"/>
      <c r="I5" s="145"/>
    </row>
    <row r="6" spans="1:11" s="29" customFormat="1" ht="47.25" customHeight="1" x14ac:dyDescent="0.25">
      <c r="A6" s="147" t="s">
        <v>5</v>
      </c>
      <c r="B6" s="142" t="s">
        <v>140</v>
      </c>
      <c r="C6" s="150" t="s">
        <v>141</v>
      </c>
      <c r="D6" s="150" t="s">
        <v>282</v>
      </c>
      <c r="E6" s="142" t="s">
        <v>142</v>
      </c>
      <c r="F6" s="142"/>
      <c r="G6" s="142"/>
      <c r="H6" s="142"/>
      <c r="I6" s="143" t="s">
        <v>143</v>
      </c>
      <c r="J6" s="102"/>
      <c r="K6" s="102"/>
    </row>
    <row r="7" spans="1:11" s="29" customFormat="1" ht="16.5" thickBot="1" x14ac:dyDescent="0.3">
      <c r="A7" s="148"/>
      <c r="B7" s="149"/>
      <c r="C7" s="151"/>
      <c r="D7" s="151"/>
      <c r="E7" s="41">
        <v>2019</v>
      </c>
      <c r="F7" s="41">
        <v>2020</v>
      </c>
      <c r="G7" s="41">
        <v>2021</v>
      </c>
      <c r="H7" s="41">
        <v>2022</v>
      </c>
      <c r="I7" s="144"/>
      <c r="J7" s="102"/>
      <c r="K7" s="102"/>
    </row>
    <row r="8" spans="1:11" s="37" customFormat="1" ht="16.5" thickBot="1" x14ac:dyDescent="0.3">
      <c r="A8" s="42" t="s">
        <v>133</v>
      </c>
      <c r="B8" s="43" t="s">
        <v>134</v>
      </c>
      <c r="C8" s="43" t="s">
        <v>135</v>
      </c>
      <c r="D8" s="43" t="s">
        <v>136</v>
      </c>
      <c r="E8" s="43" t="s">
        <v>137</v>
      </c>
      <c r="F8" s="43" t="s">
        <v>144</v>
      </c>
      <c r="G8" s="43" t="s">
        <v>145</v>
      </c>
      <c r="H8" s="43" t="s">
        <v>146</v>
      </c>
      <c r="I8" s="44" t="s">
        <v>147</v>
      </c>
      <c r="J8" s="119"/>
      <c r="K8" s="119"/>
    </row>
    <row r="9" spans="1:11" s="3" customFormat="1" ht="32.25" thickBot="1" x14ac:dyDescent="0.3">
      <c r="A9" s="133" t="s">
        <v>7</v>
      </c>
      <c r="B9" s="19" t="s">
        <v>148</v>
      </c>
      <c r="C9" s="10"/>
      <c r="D9" s="134">
        <f>SUM(D10:D11)</f>
        <v>93</v>
      </c>
      <c r="E9" s="134">
        <f t="shared" ref="E9:I9" si="0">SUM(E10:E11)</f>
        <v>6350</v>
      </c>
      <c r="F9" s="134">
        <f t="shared" si="0"/>
        <v>6200</v>
      </c>
      <c r="G9" s="134">
        <f t="shared" si="0"/>
        <v>6043</v>
      </c>
      <c r="H9" s="134">
        <f t="shared" si="0"/>
        <v>5890</v>
      </c>
      <c r="I9" s="134">
        <f t="shared" si="0"/>
        <v>24576</v>
      </c>
      <c r="J9" s="135"/>
      <c r="K9" s="135"/>
    </row>
    <row r="10" spans="1:11" x14ac:dyDescent="0.25">
      <c r="A10" s="40" t="s">
        <v>20</v>
      </c>
      <c r="B10" s="12" t="s">
        <v>285</v>
      </c>
      <c r="C10" s="12">
        <v>2018</v>
      </c>
      <c r="D10" s="92">
        <v>93</v>
      </c>
      <c r="E10" s="92">
        <v>6350</v>
      </c>
      <c r="F10" s="92">
        <v>6200</v>
      </c>
      <c r="G10" s="92">
        <v>6043</v>
      </c>
      <c r="H10" s="92">
        <v>5890</v>
      </c>
      <c r="I10" s="92">
        <f>SUM(D10:H10)</f>
        <v>24576</v>
      </c>
    </row>
    <row r="11" spans="1:11" ht="16.5" thickBot="1" x14ac:dyDescent="0.3">
      <c r="A11" s="46" t="s">
        <v>28</v>
      </c>
      <c r="B11" s="16"/>
      <c r="C11" s="16"/>
      <c r="D11" s="94"/>
      <c r="E11" s="94"/>
      <c r="F11" s="94"/>
      <c r="G11" s="94"/>
      <c r="H11" s="94"/>
      <c r="I11" s="94"/>
    </row>
    <row r="12" spans="1:11" s="3" customFormat="1" ht="32.25" thickBot="1" x14ac:dyDescent="0.3">
      <c r="A12" s="133" t="s">
        <v>36</v>
      </c>
      <c r="B12" s="19" t="s">
        <v>149</v>
      </c>
      <c r="C12" s="10"/>
      <c r="D12" s="134"/>
      <c r="E12" s="134"/>
      <c r="F12" s="134"/>
      <c r="G12" s="134"/>
      <c r="H12" s="134"/>
      <c r="I12" s="97"/>
      <c r="J12" s="135"/>
      <c r="K12" s="135"/>
    </row>
    <row r="13" spans="1:11" x14ac:dyDescent="0.25">
      <c r="A13" s="40" t="s">
        <v>48</v>
      </c>
      <c r="B13" s="12"/>
      <c r="C13" s="12"/>
      <c r="D13" s="92"/>
      <c r="E13" s="92"/>
      <c r="F13" s="92"/>
      <c r="G13" s="92"/>
      <c r="H13" s="92"/>
      <c r="I13" s="92"/>
    </row>
    <row r="14" spans="1:11" ht="16.5" thickBot="1" x14ac:dyDescent="0.3">
      <c r="A14" s="46" t="s">
        <v>50</v>
      </c>
      <c r="B14" s="16"/>
      <c r="C14" s="16"/>
      <c r="D14" s="94"/>
      <c r="E14" s="94"/>
      <c r="F14" s="94"/>
      <c r="G14" s="94"/>
      <c r="H14" s="94"/>
      <c r="I14" s="94"/>
    </row>
    <row r="15" spans="1:11" s="3" customFormat="1" ht="16.5" thickBot="1" x14ac:dyDescent="0.3">
      <c r="A15" s="42" t="s">
        <v>52</v>
      </c>
      <c r="B15" s="10" t="s">
        <v>150</v>
      </c>
      <c r="C15" s="10"/>
      <c r="D15" s="134">
        <f t="shared" ref="D15:I15" si="1">SUM(D16:D17)</f>
        <v>968.7</v>
      </c>
      <c r="E15" s="134">
        <f t="shared" si="1"/>
        <v>40747</v>
      </c>
      <c r="F15" s="134">
        <f t="shared" si="1"/>
        <v>5289.8310000000001</v>
      </c>
      <c r="G15" s="134">
        <f t="shared" si="1"/>
        <v>0</v>
      </c>
      <c r="H15" s="134">
        <f t="shared" si="1"/>
        <v>0</v>
      </c>
      <c r="I15" s="134">
        <f t="shared" si="1"/>
        <v>47005.530999999995</v>
      </c>
      <c r="J15" s="135"/>
      <c r="K15" s="135"/>
    </row>
    <row r="16" spans="1:11" s="129" customFormat="1" x14ac:dyDescent="0.25">
      <c r="A16" s="40" t="s">
        <v>53</v>
      </c>
      <c r="B16" s="108" t="s">
        <v>284</v>
      </c>
      <c r="C16" s="108">
        <v>2017</v>
      </c>
      <c r="D16" s="125"/>
      <c r="E16" s="125">
        <v>1000</v>
      </c>
      <c r="F16" s="125">
        <v>270</v>
      </c>
      <c r="G16" s="125"/>
      <c r="H16" s="125"/>
      <c r="I16" s="125">
        <f t="shared" ref="I16" si="2">SUM(D16:H16)</f>
        <v>1270</v>
      </c>
      <c r="J16" s="132"/>
      <c r="K16" s="132"/>
    </row>
    <row r="17" spans="1:11" s="129" customFormat="1" ht="16.5" thickBot="1" x14ac:dyDescent="0.3">
      <c r="A17" s="46" t="s">
        <v>55</v>
      </c>
      <c r="B17" s="108" t="s">
        <v>283</v>
      </c>
      <c r="C17" s="108">
        <v>2018</v>
      </c>
      <c r="D17" s="125">
        <v>968.7</v>
      </c>
      <c r="E17" s="125">
        <v>39747</v>
      </c>
      <c r="F17" s="125">
        <v>5019.8310000000001</v>
      </c>
      <c r="G17" s="125"/>
      <c r="H17" s="125"/>
      <c r="I17" s="125">
        <f>SUM(D17:H17)</f>
        <v>45735.530999999995</v>
      </c>
      <c r="J17" s="132"/>
      <c r="K17" s="132"/>
    </row>
    <row r="18" spans="1:11" s="3" customFormat="1" ht="16.5" thickBot="1" x14ac:dyDescent="0.3">
      <c r="A18" s="133" t="s">
        <v>57</v>
      </c>
      <c r="B18" s="137" t="s">
        <v>152</v>
      </c>
      <c r="C18" s="10"/>
      <c r="D18" s="134"/>
      <c r="E18" s="134"/>
      <c r="F18" s="134"/>
      <c r="G18" s="134"/>
      <c r="H18" s="134"/>
      <c r="I18" s="134"/>
      <c r="J18" s="135"/>
      <c r="K18" s="135"/>
    </row>
    <row r="19" spans="1:11" x14ac:dyDescent="0.25">
      <c r="A19" s="40" t="s">
        <v>64</v>
      </c>
      <c r="B19" s="12"/>
      <c r="C19" s="12"/>
      <c r="D19" s="92"/>
      <c r="E19" s="92"/>
      <c r="F19" s="92"/>
      <c r="G19" s="92"/>
      <c r="H19" s="92"/>
      <c r="I19" s="92"/>
    </row>
    <row r="20" spans="1:11" ht="16.5" thickBot="1" x14ac:dyDescent="0.3">
      <c r="A20" s="46" t="s">
        <v>66</v>
      </c>
      <c r="B20" s="16"/>
      <c r="C20" s="16"/>
      <c r="D20" s="94"/>
      <c r="E20" s="94"/>
      <c r="F20" s="94"/>
      <c r="G20" s="94"/>
      <c r="H20" s="94"/>
      <c r="I20" s="94"/>
    </row>
    <row r="21" spans="1:11" s="3" customFormat="1" ht="16.5" thickBot="1" x14ac:dyDescent="0.3">
      <c r="A21" s="133" t="s">
        <v>67</v>
      </c>
      <c r="B21" s="10" t="s">
        <v>153</v>
      </c>
      <c r="C21" s="10"/>
      <c r="D21" s="134"/>
      <c r="E21" s="134"/>
      <c r="F21" s="134"/>
      <c r="G21" s="134"/>
      <c r="H21" s="134"/>
      <c r="I21" s="97"/>
      <c r="J21" s="135"/>
      <c r="K21" s="135"/>
    </row>
    <row r="22" spans="1:11" ht="16.5" thickBot="1" x14ac:dyDescent="0.3">
      <c r="A22" s="40" t="s">
        <v>73</v>
      </c>
      <c r="B22" s="28"/>
      <c r="C22" s="28"/>
      <c r="D22" s="101"/>
      <c r="E22" s="101"/>
      <c r="F22" s="101"/>
      <c r="G22" s="101"/>
      <c r="H22" s="101"/>
      <c r="I22" s="101"/>
    </row>
    <row r="23" spans="1:11" s="3" customFormat="1" ht="16.5" thickBot="1" x14ac:dyDescent="0.3">
      <c r="A23" s="136" t="s">
        <v>75</v>
      </c>
      <c r="B23" s="10" t="s">
        <v>286</v>
      </c>
      <c r="C23" s="10"/>
      <c r="D23" s="134">
        <f>D9+D12+D15+D21</f>
        <v>1061.7</v>
      </c>
      <c r="E23" s="134">
        <f t="shared" ref="E23:I23" si="3">E9+E12+E15+E21</f>
        <v>47097</v>
      </c>
      <c r="F23" s="134">
        <f t="shared" si="3"/>
        <v>11489.831</v>
      </c>
      <c r="G23" s="134">
        <f t="shared" si="3"/>
        <v>6043</v>
      </c>
      <c r="H23" s="134">
        <f t="shared" si="3"/>
        <v>5890</v>
      </c>
      <c r="I23" s="134">
        <f t="shared" si="3"/>
        <v>71581.530999999988</v>
      </c>
      <c r="J23" s="135"/>
      <c r="K23" s="135"/>
    </row>
  </sheetData>
  <mergeCells count="10">
    <mergeCell ref="E6:H6"/>
    <mergeCell ref="I6:I7"/>
    <mergeCell ref="A1:I1"/>
    <mergeCell ref="A3:I3"/>
    <mergeCell ref="A2:I2"/>
    <mergeCell ref="A5:I5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"/>
  <sheetViews>
    <sheetView tabSelected="1" topLeftCell="A4" workbookViewId="0">
      <selection activeCell="N18" sqref="N18"/>
    </sheetView>
  </sheetViews>
  <sheetFormatPr defaultRowHeight="15.75" x14ac:dyDescent="0.25"/>
  <cols>
    <col min="1" max="1" width="5.28515625" style="37" bestFit="1" customWidth="1"/>
    <col min="2" max="2" width="55.140625" style="2" bestFit="1" customWidth="1"/>
    <col min="3" max="3" width="15.42578125" style="2" customWidth="1"/>
    <col min="4" max="4" width="15" style="2" customWidth="1"/>
    <col min="5" max="16384" width="9.140625" style="2"/>
  </cols>
  <sheetData>
    <row r="1" spans="1:4" x14ac:dyDescent="0.25">
      <c r="A1" s="145" t="s">
        <v>155</v>
      </c>
      <c r="B1" s="145"/>
      <c r="C1" s="145"/>
      <c r="D1" s="145"/>
    </row>
    <row r="2" spans="1:4" ht="36.75" customHeight="1" x14ac:dyDescent="0.25">
      <c r="A2" s="152" t="s">
        <v>156</v>
      </c>
      <c r="B2" s="146"/>
      <c r="C2" s="146"/>
      <c r="D2" s="146"/>
    </row>
    <row r="3" spans="1:4" ht="16.5" thickBot="1" x14ac:dyDescent="0.3">
      <c r="D3" s="2" t="s">
        <v>258</v>
      </c>
    </row>
    <row r="4" spans="1:4" ht="48" thickBot="1" x14ac:dyDescent="0.3">
      <c r="A4" s="47" t="s">
        <v>5</v>
      </c>
      <c r="B4" s="48" t="s">
        <v>157</v>
      </c>
      <c r="C4" s="49" t="s">
        <v>158</v>
      </c>
      <c r="D4" s="50" t="s">
        <v>159</v>
      </c>
    </row>
    <row r="5" spans="1:4" ht="16.5" thickBot="1" x14ac:dyDescent="0.3">
      <c r="A5" s="47" t="s">
        <v>133</v>
      </c>
      <c r="B5" s="48" t="s">
        <v>181</v>
      </c>
      <c r="C5" s="49" t="s">
        <v>135</v>
      </c>
      <c r="D5" s="50" t="s">
        <v>182</v>
      </c>
    </row>
    <row r="6" spans="1:4" x14ac:dyDescent="0.25">
      <c r="A6" s="40" t="s">
        <v>7</v>
      </c>
      <c r="B6" s="12" t="s">
        <v>161</v>
      </c>
      <c r="C6" s="92">
        <v>38966</v>
      </c>
      <c r="D6" s="92"/>
    </row>
    <row r="7" spans="1:4" x14ac:dyDescent="0.25">
      <c r="A7" s="39" t="s">
        <v>20</v>
      </c>
      <c r="B7" s="14" t="s">
        <v>162</v>
      </c>
      <c r="C7" s="93"/>
      <c r="D7" s="93"/>
    </row>
    <row r="8" spans="1:4" x14ac:dyDescent="0.25">
      <c r="A8" s="39" t="s">
        <v>28</v>
      </c>
      <c r="B8" s="14" t="s">
        <v>172</v>
      </c>
      <c r="C8" s="93"/>
      <c r="D8" s="93"/>
    </row>
    <row r="9" spans="1:4" x14ac:dyDescent="0.25">
      <c r="A9" s="39" t="s">
        <v>36</v>
      </c>
      <c r="B9" s="14" t="s">
        <v>163</v>
      </c>
      <c r="C9" s="93"/>
      <c r="D9" s="93"/>
    </row>
    <row r="10" spans="1:4" x14ac:dyDescent="0.25">
      <c r="A10" s="39" t="s">
        <v>48</v>
      </c>
      <c r="B10" s="14" t="s">
        <v>164</v>
      </c>
      <c r="C10" s="93">
        <f>SUM(C11:C13)</f>
        <v>106002</v>
      </c>
      <c r="D10" s="93"/>
    </row>
    <row r="11" spans="1:4" x14ac:dyDescent="0.25">
      <c r="A11" s="39" t="s">
        <v>50</v>
      </c>
      <c r="B11" s="14" t="s">
        <v>165</v>
      </c>
      <c r="C11" s="93">
        <v>2</v>
      </c>
      <c r="D11" s="93"/>
    </row>
    <row r="12" spans="1:4" x14ac:dyDescent="0.25">
      <c r="A12" s="39" t="s">
        <v>52</v>
      </c>
      <c r="B12" s="14" t="s">
        <v>260</v>
      </c>
      <c r="C12" s="93"/>
      <c r="D12" s="93"/>
    </row>
    <row r="13" spans="1:4" x14ac:dyDescent="0.25">
      <c r="A13" s="39" t="s">
        <v>53</v>
      </c>
      <c r="B13" s="14" t="s">
        <v>171</v>
      </c>
      <c r="C13" s="93">
        <v>106000</v>
      </c>
      <c r="D13" s="93"/>
    </row>
    <row r="14" spans="1:4" x14ac:dyDescent="0.25">
      <c r="A14" s="39" t="s">
        <v>55</v>
      </c>
      <c r="B14" s="14" t="s">
        <v>166</v>
      </c>
      <c r="C14" s="93">
        <v>11333.786</v>
      </c>
      <c r="D14" s="93">
        <v>2333.7860000000001</v>
      </c>
    </row>
    <row r="15" spans="1:4" x14ac:dyDescent="0.25">
      <c r="A15" s="39" t="s">
        <v>57</v>
      </c>
      <c r="B15" s="14" t="s">
        <v>167</v>
      </c>
      <c r="C15" s="93"/>
      <c r="D15" s="93"/>
    </row>
    <row r="16" spans="1:4" x14ac:dyDescent="0.25">
      <c r="A16" s="39" t="s">
        <v>64</v>
      </c>
      <c r="B16" s="14" t="s">
        <v>168</v>
      </c>
      <c r="C16" s="93"/>
      <c r="D16" s="93"/>
    </row>
    <row r="17" spans="1:4" x14ac:dyDescent="0.25">
      <c r="A17" s="39" t="s">
        <v>66</v>
      </c>
      <c r="B17" s="14" t="s">
        <v>169</v>
      </c>
      <c r="C17" s="93"/>
      <c r="D17" s="93"/>
    </row>
    <row r="18" spans="1:4" x14ac:dyDescent="0.25">
      <c r="A18" s="39" t="s">
        <v>67</v>
      </c>
      <c r="B18" s="14" t="s">
        <v>170</v>
      </c>
      <c r="C18" s="93"/>
      <c r="D18" s="93"/>
    </row>
    <row r="19" spans="1:4" x14ac:dyDescent="0.25">
      <c r="A19" s="39" t="s">
        <v>73</v>
      </c>
      <c r="B19" s="14" t="s">
        <v>264</v>
      </c>
      <c r="C19" s="93">
        <v>9678</v>
      </c>
      <c r="D19" s="93">
        <v>9213</v>
      </c>
    </row>
    <row r="20" spans="1:4" x14ac:dyDescent="0.25">
      <c r="A20" s="39" t="s">
        <v>75</v>
      </c>
      <c r="B20" s="14"/>
      <c r="C20" s="93"/>
      <c r="D20" s="93"/>
    </row>
    <row r="21" spans="1:4" x14ac:dyDescent="0.25">
      <c r="A21" s="39" t="s">
        <v>151</v>
      </c>
      <c r="B21" s="14"/>
      <c r="C21" s="93"/>
      <c r="D21" s="93"/>
    </row>
    <row r="22" spans="1:4" x14ac:dyDescent="0.25">
      <c r="A22" s="39" t="s">
        <v>79</v>
      </c>
      <c r="B22" s="14"/>
      <c r="C22" s="93"/>
      <c r="D22" s="93"/>
    </row>
    <row r="23" spans="1:4" x14ac:dyDescent="0.25">
      <c r="A23" s="39" t="s">
        <v>81</v>
      </c>
      <c r="B23" s="14"/>
      <c r="C23" s="93"/>
      <c r="D23" s="93"/>
    </row>
    <row r="24" spans="1:4" x14ac:dyDescent="0.25">
      <c r="A24" s="39" t="s">
        <v>160</v>
      </c>
      <c r="B24" s="14"/>
      <c r="C24" s="93"/>
      <c r="D24" s="93"/>
    </row>
    <row r="25" spans="1:4" x14ac:dyDescent="0.25">
      <c r="A25" s="39" t="s">
        <v>173</v>
      </c>
      <c r="B25" s="14"/>
      <c r="C25" s="93"/>
      <c r="D25" s="93"/>
    </row>
    <row r="26" spans="1:4" x14ac:dyDescent="0.25">
      <c r="A26" s="39" t="s">
        <v>174</v>
      </c>
      <c r="B26" s="14"/>
      <c r="C26" s="93"/>
      <c r="D26" s="93"/>
    </row>
    <row r="27" spans="1:4" x14ac:dyDescent="0.25">
      <c r="A27" s="39" t="s">
        <v>175</v>
      </c>
      <c r="B27" s="14"/>
      <c r="C27" s="93"/>
      <c r="D27" s="93"/>
    </row>
    <row r="28" spans="1:4" x14ac:dyDescent="0.25">
      <c r="A28" s="39" t="s">
        <v>176</v>
      </c>
      <c r="B28" s="14"/>
      <c r="C28" s="93"/>
      <c r="D28" s="93"/>
    </row>
    <row r="29" spans="1:4" x14ac:dyDescent="0.25">
      <c r="A29" s="39" t="s">
        <v>177</v>
      </c>
      <c r="B29" s="14"/>
      <c r="C29" s="93"/>
      <c r="D29" s="93"/>
    </row>
    <row r="30" spans="1:4" x14ac:dyDescent="0.25">
      <c r="A30" s="39" t="s">
        <v>178</v>
      </c>
      <c r="B30" s="14"/>
      <c r="C30" s="93"/>
      <c r="D30" s="93"/>
    </row>
    <row r="31" spans="1:4" ht="16.5" thickBot="1" x14ac:dyDescent="0.3">
      <c r="A31" s="39" t="s">
        <v>179</v>
      </c>
      <c r="B31" s="16"/>
      <c r="C31" s="94"/>
      <c r="D31" s="94"/>
    </row>
    <row r="32" spans="1:4" ht="16.5" thickBot="1" x14ac:dyDescent="0.3">
      <c r="A32" s="39" t="s">
        <v>259</v>
      </c>
      <c r="B32" s="45" t="s">
        <v>180</v>
      </c>
      <c r="C32" s="107">
        <f>C6+C10+C14+C19</f>
        <v>165979.78599999999</v>
      </c>
      <c r="D32" s="100">
        <f>D6+D10+SUM(D14:D19)</f>
        <v>11546.786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view="pageBreakPreview" zoomScaleNormal="100" zoomScaleSheetLayoutView="100" workbookViewId="0">
      <selection activeCell="K14" sqref="K14"/>
    </sheetView>
  </sheetViews>
  <sheetFormatPr defaultRowHeight="15.75" x14ac:dyDescent="0.25"/>
  <cols>
    <col min="1" max="1" width="5.42578125" style="2" bestFit="1" customWidth="1"/>
    <col min="2" max="2" width="26" style="2" customWidth="1"/>
    <col min="3" max="3" width="10.85546875" style="38" bestFit="1" customWidth="1"/>
    <col min="4" max="5" width="10.42578125" style="38" bestFit="1" customWidth="1"/>
    <col min="6" max="9" width="10.85546875" style="38" bestFit="1" customWidth="1"/>
    <col min="10" max="14" width="11.42578125" style="38" bestFit="1" customWidth="1"/>
    <col min="15" max="15" width="13.140625" style="38" bestFit="1" customWidth="1"/>
    <col min="16" max="16" width="10.85546875" style="98" bestFit="1" customWidth="1"/>
    <col min="17" max="17" width="10.140625" style="2" bestFit="1" customWidth="1"/>
    <col min="18" max="16384" width="9.140625" style="2"/>
  </cols>
  <sheetData>
    <row r="1" spans="1:17" x14ac:dyDescent="0.25">
      <c r="A1" s="145" t="s">
        <v>183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7" x14ac:dyDescent="0.25">
      <c r="A2" s="146" t="s">
        <v>184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7" x14ac:dyDescent="0.25">
      <c r="A3" s="146" t="s">
        <v>266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7" ht="26.25" customHeight="1" thickBot="1" x14ac:dyDescent="0.3">
      <c r="O4" s="78" t="s">
        <v>4</v>
      </c>
    </row>
    <row r="5" spans="1:17" s="56" customFormat="1" ht="26.25" thickBot="1" x14ac:dyDescent="0.25">
      <c r="A5" s="54" t="s">
        <v>5</v>
      </c>
      <c r="B5" s="55" t="s">
        <v>185</v>
      </c>
      <c r="C5" s="79" t="s">
        <v>186</v>
      </c>
      <c r="D5" s="79" t="s">
        <v>187</v>
      </c>
      <c r="E5" s="79" t="s">
        <v>188</v>
      </c>
      <c r="F5" s="79" t="s">
        <v>189</v>
      </c>
      <c r="G5" s="79" t="s">
        <v>190</v>
      </c>
      <c r="H5" s="79" t="s">
        <v>191</v>
      </c>
      <c r="I5" s="79" t="s">
        <v>192</v>
      </c>
      <c r="J5" s="79" t="s">
        <v>193</v>
      </c>
      <c r="K5" s="79" t="s">
        <v>194</v>
      </c>
      <c r="L5" s="79" t="s">
        <v>197</v>
      </c>
      <c r="M5" s="79" t="s">
        <v>195</v>
      </c>
      <c r="N5" s="79" t="s">
        <v>196</v>
      </c>
      <c r="O5" s="80" t="s">
        <v>143</v>
      </c>
      <c r="P5" s="109"/>
    </row>
    <row r="6" spans="1:17" s="51" customFormat="1" ht="12.75" x14ac:dyDescent="0.2">
      <c r="A6" s="111" t="s">
        <v>198</v>
      </c>
      <c r="B6" s="153" t="s">
        <v>199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10"/>
    </row>
    <row r="7" spans="1:17" s="51" customFormat="1" ht="25.5" x14ac:dyDescent="0.2">
      <c r="A7" s="112" t="s">
        <v>20</v>
      </c>
      <c r="B7" s="52" t="s">
        <v>217</v>
      </c>
      <c r="C7" s="115">
        <v>23327.448</v>
      </c>
      <c r="D7" s="115">
        <v>23316.096000000001</v>
      </c>
      <c r="E7" s="115">
        <v>24240.452000000001</v>
      </c>
      <c r="F7" s="115">
        <v>24240.452000000001</v>
      </c>
      <c r="G7" s="115">
        <v>24240.452000000001</v>
      </c>
      <c r="H7" s="115">
        <v>24240.452000000001</v>
      </c>
      <c r="I7" s="115">
        <v>24240.452000000001</v>
      </c>
      <c r="J7" s="115">
        <v>24240.452000000001</v>
      </c>
      <c r="K7" s="115">
        <v>24240.452000000001</v>
      </c>
      <c r="L7" s="115">
        <v>24240.452000000001</v>
      </c>
      <c r="M7" s="115">
        <v>24240.452000000001</v>
      </c>
      <c r="N7" s="115">
        <v>24240.457999999999</v>
      </c>
      <c r="O7" s="120">
        <f>SUM(C7:N7)</f>
        <v>289048.06999999995</v>
      </c>
      <c r="P7" s="110">
        <v>289048.07</v>
      </c>
      <c r="Q7" s="110">
        <f>P7-O7</f>
        <v>0</v>
      </c>
    </row>
    <row r="8" spans="1:17" s="51" customFormat="1" ht="25.5" x14ac:dyDescent="0.2">
      <c r="A8" s="112" t="s">
        <v>28</v>
      </c>
      <c r="B8" s="52" t="s">
        <v>218</v>
      </c>
      <c r="C8" s="115">
        <v>9297</v>
      </c>
      <c r="D8" s="115">
        <v>10986</v>
      </c>
      <c r="E8" s="115">
        <v>10725</v>
      </c>
      <c r="F8" s="115">
        <v>9526</v>
      </c>
      <c r="G8" s="115">
        <v>9763</v>
      </c>
      <c r="H8" s="115">
        <v>10826</v>
      </c>
      <c r="I8" s="115">
        <v>9256</v>
      </c>
      <c r="J8" s="115">
        <v>9302</v>
      </c>
      <c r="K8" s="115">
        <v>7859</v>
      </c>
      <c r="L8" s="115">
        <v>8963</v>
      </c>
      <c r="M8" s="115">
        <v>8532</v>
      </c>
      <c r="N8" s="115">
        <v>6548.4080000000004</v>
      </c>
      <c r="O8" s="120">
        <f t="shared" ref="O8:O15" si="0">SUM(C8:N8)</f>
        <v>111583.408</v>
      </c>
      <c r="P8" s="110">
        <v>111583.408</v>
      </c>
      <c r="Q8" s="110">
        <f t="shared" ref="Q8:Q28" si="1">P8-O8</f>
        <v>0</v>
      </c>
    </row>
    <row r="9" spans="1:17" s="51" customFormat="1" ht="25.5" x14ac:dyDescent="0.2">
      <c r="A9" s="112" t="s">
        <v>200</v>
      </c>
      <c r="B9" s="52" t="s">
        <v>219</v>
      </c>
      <c r="C9" s="115"/>
      <c r="D9" s="115"/>
      <c r="E9" s="115"/>
      <c r="F9" s="115"/>
      <c r="G9" s="115"/>
      <c r="H9" s="115"/>
      <c r="I9" s="115">
        <v>58</v>
      </c>
      <c r="J9" s="115">
        <v>200</v>
      </c>
      <c r="K9" s="115"/>
      <c r="L9" s="115"/>
      <c r="M9" s="115"/>
      <c r="N9" s="115"/>
      <c r="O9" s="120">
        <f t="shared" si="0"/>
        <v>258</v>
      </c>
      <c r="P9" s="110">
        <v>258</v>
      </c>
      <c r="Q9" s="110">
        <f t="shared" si="1"/>
        <v>0</v>
      </c>
    </row>
    <row r="10" spans="1:17" s="51" customFormat="1" ht="12.75" x14ac:dyDescent="0.2">
      <c r="A10" s="112" t="s">
        <v>201</v>
      </c>
      <c r="B10" s="53" t="s">
        <v>220</v>
      </c>
      <c r="C10" s="115">
        <v>565.81100000000004</v>
      </c>
      <c r="D10" s="115">
        <v>3338.1170000000002</v>
      </c>
      <c r="E10" s="115">
        <f>35077.984+5000</f>
        <v>40077.983999999997</v>
      </c>
      <c r="F10" s="115">
        <v>944.048</v>
      </c>
      <c r="G10" s="115">
        <f>8272.546+5000</f>
        <v>13272.546</v>
      </c>
      <c r="H10" s="115">
        <v>3078.7809999999999</v>
      </c>
      <c r="I10" s="115">
        <v>3007.2370000000001</v>
      </c>
      <c r="J10" s="115">
        <v>4015.02</v>
      </c>
      <c r="K10" s="115">
        <f>30140.456+5000</f>
        <v>35140.455999999998</v>
      </c>
      <c r="L10" s="115">
        <v>500</v>
      </c>
      <c r="M10" s="115">
        <v>500</v>
      </c>
      <c r="N10" s="115">
        <f>12000+1381+611</f>
        <v>13992</v>
      </c>
      <c r="O10" s="115">
        <f t="shared" si="0"/>
        <v>118432</v>
      </c>
      <c r="P10" s="110">
        <v>118432</v>
      </c>
      <c r="Q10" s="110">
        <f t="shared" si="1"/>
        <v>0</v>
      </c>
    </row>
    <row r="11" spans="1:17" s="51" customFormat="1" ht="12.75" x14ac:dyDescent="0.2">
      <c r="A11" s="112" t="s">
        <v>202</v>
      </c>
      <c r="B11" s="53" t="s">
        <v>221</v>
      </c>
      <c r="C11" s="115">
        <f>5380.425+405</f>
        <v>5785.4250000000002</v>
      </c>
      <c r="D11" s="115">
        <f>5311.251+405</f>
        <v>5716.2510000000002</v>
      </c>
      <c r="E11" s="115">
        <f>4882.792+405</f>
        <v>5287.7920000000004</v>
      </c>
      <c r="F11" s="115">
        <f>5472.075+405</f>
        <v>5877.0749999999998</v>
      </c>
      <c r="G11" s="115">
        <f>4841.534+405</f>
        <v>5246.5339999999997</v>
      </c>
      <c r="H11" s="115">
        <f>6522.325+405</f>
        <v>6927.3249999999998</v>
      </c>
      <c r="I11" s="115">
        <f>5535.745+405</f>
        <v>5940.7449999999999</v>
      </c>
      <c r="J11" s="115">
        <f>8453.039+405</f>
        <v>8858.0390000000007</v>
      </c>
      <c r="K11" s="115">
        <f>2882.114+405</f>
        <v>3287.114</v>
      </c>
      <c r="L11" s="115">
        <f>4130+405</f>
        <v>4535</v>
      </c>
      <c r="M11" s="115">
        <f>4130+405</f>
        <v>4535</v>
      </c>
      <c r="N11" s="115">
        <f>4632-600+405.2</f>
        <v>4437.2</v>
      </c>
      <c r="O11" s="115">
        <f t="shared" si="0"/>
        <v>66433.5</v>
      </c>
      <c r="P11" s="110">
        <v>66433.5</v>
      </c>
      <c r="Q11" s="110">
        <f t="shared" si="1"/>
        <v>0</v>
      </c>
    </row>
    <row r="12" spans="1:17" s="51" customFormat="1" ht="12.75" x14ac:dyDescent="0.2">
      <c r="A12" s="112" t="s">
        <v>203</v>
      </c>
      <c r="B12" s="53" t="s">
        <v>51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>
        <f t="shared" si="0"/>
        <v>0</v>
      </c>
      <c r="P12" s="110"/>
      <c r="Q12" s="110">
        <f t="shared" si="1"/>
        <v>0</v>
      </c>
    </row>
    <row r="13" spans="1:17" s="51" customFormat="1" ht="25.5" x14ac:dyDescent="0.2">
      <c r="A13" s="112" t="s">
        <v>53</v>
      </c>
      <c r="B13" s="52" t="s">
        <v>261</v>
      </c>
      <c r="C13" s="115"/>
      <c r="D13" s="115"/>
      <c r="E13" s="115">
        <v>500</v>
      </c>
      <c r="F13" s="115"/>
      <c r="G13" s="115">
        <v>1000</v>
      </c>
      <c r="H13" s="115"/>
      <c r="I13" s="115">
        <v>500</v>
      </c>
      <c r="J13" s="115"/>
      <c r="K13" s="115">
        <v>38972</v>
      </c>
      <c r="L13" s="115"/>
      <c r="M13" s="115"/>
      <c r="N13" s="115">
        <v>76590.95</v>
      </c>
      <c r="O13" s="115">
        <f t="shared" si="0"/>
        <v>117562.95</v>
      </c>
      <c r="P13" s="110">
        <v>117562.95</v>
      </c>
      <c r="Q13" s="110">
        <f t="shared" si="1"/>
        <v>0</v>
      </c>
    </row>
    <row r="14" spans="1:17" s="51" customFormat="1" ht="12.75" x14ac:dyDescent="0.2">
      <c r="A14" s="112" t="s">
        <v>129</v>
      </c>
      <c r="B14" s="53" t="s">
        <v>222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>
        <f t="shared" si="0"/>
        <v>0</v>
      </c>
      <c r="P14" s="110"/>
      <c r="Q14" s="110">
        <f t="shared" si="1"/>
        <v>0</v>
      </c>
    </row>
    <row r="15" spans="1:17" s="51" customFormat="1" ht="13.5" thickBot="1" x14ac:dyDescent="0.25">
      <c r="A15" s="113" t="s">
        <v>204</v>
      </c>
      <c r="B15" s="57" t="s">
        <v>223</v>
      </c>
      <c r="C15" s="116">
        <v>659949.11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5">
        <f t="shared" si="0"/>
        <v>659949.11</v>
      </c>
      <c r="P15" s="110">
        <v>659949.11</v>
      </c>
      <c r="Q15" s="110">
        <f t="shared" si="1"/>
        <v>0</v>
      </c>
    </row>
    <row r="16" spans="1:17" s="51" customFormat="1" ht="13.5" thickBot="1" x14ac:dyDescent="0.25">
      <c r="A16" s="114" t="s">
        <v>205</v>
      </c>
      <c r="B16" s="55" t="s">
        <v>224</v>
      </c>
      <c r="C16" s="117">
        <f t="shared" ref="C16:P16" si="2">SUM(C7:C15)</f>
        <v>698924.79399999999</v>
      </c>
      <c r="D16" s="117">
        <f t="shared" si="2"/>
        <v>43356.464000000007</v>
      </c>
      <c r="E16" s="117">
        <f t="shared" si="2"/>
        <v>80831.228000000003</v>
      </c>
      <c r="F16" s="117">
        <f t="shared" si="2"/>
        <v>40587.575000000004</v>
      </c>
      <c r="G16" s="117">
        <f t="shared" si="2"/>
        <v>53522.532000000007</v>
      </c>
      <c r="H16" s="117">
        <f t="shared" si="2"/>
        <v>45072.558000000005</v>
      </c>
      <c r="I16" s="117">
        <f t="shared" si="2"/>
        <v>43002.434000000008</v>
      </c>
      <c r="J16" s="117">
        <f t="shared" si="2"/>
        <v>46615.510999999999</v>
      </c>
      <c r="K16" s="117">
        <f t="shared" si="2"/>
        <v>109499.022</v>
      </c>
      <c r="L16" s="117">
        <f t="shared" si="2"/>
        <v>38238.452000000005</v>
      </c>
      <c r="M16" s="117">
        <f t="shared" si="2"/>
        <v>37807.452000000005</v>
      </c>
      <c r="N16" s="117">
        <f t="shared" si="2"/>
        <v>125809.01599999999</v>
      </c>
      <c r="O16" s="117">
        <f t="shared" si="2"/>
        <v>1363267.0379999997</v>
      </c>
      <c r="P16" s="110">
        <f t="shared" si="2"/>
        <v>1363267.0379999999</v>
      </c>
      <c r="Q16" s="110">
        <f t="shared" si="1"/>
        <v>0</v>
      </c>
    </row>
    <row r="17" spans="1:17" s="51" customFormat="1" ht="12.75" x14ac:dyDescent="0.2">
      <c r="A17" s="111" t="s">
        <v>206</v>
      </c>
      <c r="B17" s="154" t="s">
        <v>226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10"/>
      <c r="Q17" s="110">
        <f t="shared" si="1"/>
        <v>0</v>
      </c>
    </row>
    <row r="18" spans="1:17" s="51" customFormat="1" ht="12.75" x14ac:dyDescent="0.2">
      <c r="A18" s="112" t="s">
        <v>207</v>
      </c>
      <c r="B18" s="53" t="s">
        <v>87</v>
      </c>
      <c r="C18" s="115">
        <f>26617.538</f>
        <v>26617.538</v>
      </c>
      <c r="D18" s="115">
        <f>27338.138</f>
        <v>27338.137999999999</v>
      </c>
      <c r="E18" s="115">
        <f>28696.905</f>
        <v>28696.904999999999</v>
      </c>
      <c r="F18" s="115">
        <f>26931.842</f>
        <v>26931.842000000001</v>
      </c>
      <c r="G18" s="115">
        <f>26594.171</f>
        <v>26594.170999999998</v>
      </c>
      <c r="H18" s="115">
        <f>29644.897</f>
        <v>29644.897000000001</v>
      </c>
      <c r="I18" s="115">
        <f>28604.438</f>
        <v>28604.437999999998</v>
      </c>
      <c r="J18" s="115">
        <f>28983.67</f>
        <v>28983.67</v>
      </c>
      <c r="K18" s="115">
        <f>28239</f>
        <v>28239</v>
      </c>
      <c r="L18" s="115">
        <v>28364</v>
      </c>
      <c r="M18" s="115">
        <f>30169+796.208</f>
        <v>30965.207999999999</v>
      </c>
      <c r="N18" s="115">
        <v>40163.923000000003</v>
      </c>
      <c r="O18" s="115">
        <f>SUM(C18:N18)</f>
        <v>351143.73</v>
      </c>
      <c r="P18" s="110">
        <v>351143.73</v>
      </c>
      <c r="Q18" s="110">
        <f t="shared" si="1"/>
        <v>0</v>
      </c>
    </row>
    <row r="19" spans="1:17" s="51" customFormat="1" ht="25.5" x14ac:dyDescent="0.2">
      <c r="A19" s="112" t="s">
        <v>208</v>
      </c>
      <c r="B19" s="52" t="s">
        <v>225</v>
      </c>
      <c r="C19" s="115">
        <v>5250</v>
      </c>
      <c r="D19" s="115">
        <v>5044</v>
      </c>
      <c r="E19" s="115">
        <v>5044</v>
      </c>
      <c r="F19" s="115">
        <f>420+5044</f>
        <v>5464</v>
      </c>
      <c r="G19" s="115">
        <v>5044</v>
      </c>
      <c r="H19" s="115">
        <v>5044</v>
      </c>
      <c r="I19" s="115">
        <v>5044</v>
      </c>
      <c r="J19" s="115">
        <v>5044</v>
      </c>
      <c r="K19" s="115">
        <f>420+5044</f>
        <v>5464</v>
      </c>
      <c r="L19" s="115">
        <v>5044</v>
      </c>
      <c r="M19" s="115">
        <v>5044</v>
      </c>
      <c r="N19" s="115">
        <f>1500+5045.248</f>
        <v>6545.2479999999996</v>
      </c>
      <c r="O19" s="115">
        <f t="shared" ref="O19:O27" si="3">SUM(C19:N19)</f>
        <v>63075.248</v>
      </c>
      <c r="P19" s="110">
        <v>63075.248</v>
      </c>
      <c r="Q19" s="110">
        <f t="shared" si="1"/>
        <v>0</v>
      </c>
    </row>
    <row r="20" spans="1:17" s="51" customFormat="1" ht="12.75" x14ac:dyDescent="0.2">
      <c r="A20" s="112" t="s">
        <v>209</v>
      </c>
      <c r="B20" s="53" t="s">
        <v>89</v>
      </c>
      <c r="C20" s="115">
        <v>21727</v>
      </c>
      <c r="D20" s="115">
        <v>21528</v>
      </c>
      <c r="E20" s="115">
        <v>22505</v>
      </c>
      <c r="F20" s="115">
        <v>23774</v>
      </c>
      <c r="G20" s="115">
        <v>25525</v>
      </c>
      <c r="H20" s="115">
        <v>19629</v>
      </c>
      <c r="I20" s="115">
        <v>14627</v>
      </c>
      <c r="J20" s="115">
        <v>16327</v>
      </c>
      <c r="K20" s="115">
        <v>18527</v>
      </c>
      <c r="L20" s="115">
        <v>20176</v>
      </c>
      <c r="M20" s="115">
        <v>23280</v>
      </c>
      <c r="N20" s="115">
        <v>21100.177</v>
      </c>
      <c r="O20" s="115">
        <f t="shared" si="3"/>
        <v>248725.177</v>
      </c>
      <c r="P20" s="110">
        <v>248725.177</v>
      </c>
      <c r="Q20" s="110">
        <f t="shared" si="1"/>
        <v>0</v>
      </c>
    </row>
    <row r="21" spans="1:17" s="51" customFormat="1" ht="12.75" x14ac:dyDescent="0.2">
      <c r="A21" s="112" t="s">
        <v>77</v>
      </c>
      <c r="B21" s="53" t="s">
        <v>287</v>
      </c>
      <c r="C21" s="115">
        <v>442</v>
      </c>
      <c r="D21" s="115">
        <v>442</v>
      </c>
      <c r="E21" s="115">
        <v>442</v>
      </c>
      <c r="F21" s="115">
        <v>442</v>
      </c>
      <c r="G21" s="115">
        <v>442</v>
      </c>
      <c r="H21" s="115">
        <v>442</v>
      </c>
      <c r="I21" s="115">
        <v>442</v>
      </c>
      <c r="J21" s="115">
        <v>442</v>
      </c>
      <c r="K21" s="115">
        <v>442</v>
      </c>
      <c r="L21" s="115">
        <v>442</v>
      </c>
      <c r="M21" s="115">
        <v>442</v>
      </c>
      <c r="N21" s="115">
        <v>438</v>
      </c>
      <c r="O21" s="115">
        <f t="shared" si="3"/>
        <v>5300</v>
      </c>
      <c r="P21" s="110">
        <v>5300</v>
      </c>
      <c r="Q21" s="110">
        <f t="shared" si="1"/>
        <v>0</v>
      </c>
    </row>
    <row r="22" spans="1:17" s="51" customFormat="1" ht="12.75" x14ac:dyDescent="0.2">
      <c r="A22" s="112" t="s">
        <v>210</v>
      </c>
      <c r="B22" s="53" t="s">
        <v>90</v>
      </c>
      <c r="C22" s="115">
        <f>1200+170</f>
        <v>1370</v>
      </c>
      <c r="D22" s="115">
        <f>1200+170</f>
        <v>1370</v>
      </c>
      <c r="E22" s="115">
        <f>1200+170</f>
        <v>1370</v>
      </c>
      <c r="F22" s="115">
        <v>4445</v>
      </c>
      <c r="G22" s="115">
        <v>4445</v>
      </c>
      <c r="H22" s="115">
        <v>4445</v>
      </c>
      <c r="I22" s="115">
        <v>4445</v>
      </c>
      <c r="J22" s="115">
        <v>4445</v>
      </c>
      <c r="K22" s="115">
        <v>4445</v>
      </c>
      <c r="L22" s="115">
        <v>4445</v>
      </c>
      <c r="M22" s="115">
        <v>4445</v>
      </c>
      <c r="N22" s="115">
        <v>4448.3029999999999</v>
      </c>
      <c r="O22" s="115">
        <f t="shared" si="3"/>
        <v>44118.303</v>
      </c>
      <c r="P22" s="110">
        <f>21834.1+22284.203</f>
        <v>44118.303</v>
      </c>
      <c r="Q22" s="110">
        <f t="shared" si="1"/>
        <v>0</v>
      </c>
    </row>
    <row r="23" spans="1:17" s="51" customFormat="1" ht="12.75" x14ac:dyDescent="0.2">
      <c r="A23" s="112" t="s">
        <v>211</v>
      </c>
      <c r="B23" s="53" t="s">
        <v>106</v>
      </c>
      <c r="C23" s="115"/>
      <c r="D23" s="115"/>
      <c r="E23" s="115">
        <v>500</v>
      </c>
      <c r="F23" s="115">
        <f>35359.459+144.28</f>
        <v>35503.739000000001</v>
      </c>
      <c r="G23" s="115">
        <f>1000+600</f>
        <v>1600</v>
      </c>
      <c r="H23" s="115">
        <f>500+33.5</f>
        <v>533.5</v>
      </c>
      <c r="I23" s="115">
        <v>1270</v>
      </c>
      <c r="J23" s="115"/>
      <c r="K23" s="115">
        <v>43582.400000000001</v>
      </c>
      <c r="L23" s="115">
        <f>352.7+803+2205.988+2362.4+1954.53+5000</f>
        <v>12678.617999999999</v>
      </c>
      <c r="M23" s="115">
        <f>186265.1+42570.488</f>
        <v>228835.58799999999</v>
      </c>
      <c r="N23" s="115">
        <f>15345+76618.779+158900.438</f>
        <v>250864.217</v>
      </c>
      <c r="O23" s="115">
        <f t="shared" si="3"/>
        <v>575368.06199999992</v>
      </c>
      <c r="P23" s="110">
        <v>575368.06200000003</v>
      </c>
      <c r="Q23" s="110">
        <f t="shared" si="1"/>
        <v>0</v>
      </c>
    </row>
    <row r="24" spans="1:17" s="51" customFormat="1" ht="12.75" x14ac:dyDescent="0.2">
      <c r="A24" s="112" t="s">
        <v>212</v>
      </c>
      <c r="B24" s="53" t="s">
        <v>109</v>
      </c>
      <c r="C24" s="115"/>
      <c r="D24" s="115"/>
      <c r="E24" s="115"/>
      <c r="F24" s="115">
        <v>230.7</v>
      </c>
      <c r="G24" s="115">
        <f>500</f>
        <v>500</v>
      </c>
      <c r="H24" s="115"/>
      <c r="I24" s="115">
        <v>2882.1</v>
      </c>
      <c r="J24" s="115">
        <v>570</v>
      </c>
      <c r="K24" s="115"/>
      <c r="L24" s="115"/>
      <c r="M24" s="115">
        <v>23859</v>
      </c>
      <c r="N24" s="115"/>
      <c r="O24" s="120">
        <f t="shared" si="3"/>
        <v>28041.8</v>
      </c>
      <c r="P24" s="110">
        <v>28041.8</v>
      </c>
      <c r="Q24" s="110">
        <f t="shared" si="1"/>
        <v>0</v>
      </c>
    </row>
    <row r="25" spans="1:17" s="51" customFormat="1" ht="12.75" x14ac:dyDescent="0.2">
      <c r="A25" s="112" t="s">
        <v>213</v>
      </c>
      <c r="B25" s="53" t="s">
        <v>113</v>
      </c>
      <c r="C25" s="115"/>
      <c r="D25" s="115"/>
      <c r="E25" s="115"/>
      <c r="F25" s="115"/>
      <c r="G25" s="115"/>
      <c r="H25" s="115">
        <v>1000</v>
      </c>
      <c r="I25" s="115"/>
      <c r="J25" s="115"/>
      <c r="K25" s="115"/>
      <c r="L25" s="115"/>
      <c r="M25" s="115"/>
      <c r="N25" s="115"/>
      <c r="O25" s="120">
        <f t="shared" si="3"/>
        <v>1000</v>
      </c>
      <c r="P25" s="110">
        <v>1000</v>
      </c>
      <c r="Q25" s="110">
        <f t="shared" si="1"/>
        <v>0</v>
      </c>
    </row>
    <row r="26" spans="1:17" s="51" customFormat="1" ht="12.75" x14ac:dyDescent="0.2">
      <c r="A26" s="112" t="s">
        <v>214</v>
      </c>
      <c r="B26" s="57" t="s">
        <v>263</v>
      </c>
      <c r="C26" s="116"/>
      <c r="D26" s="116"/>
      <c r="E26" s="116"/>
      <c r="F26" s="116">
        <v>500</v>
      </c>
      <c r="G26" s="116">
        <v>3830</v>
      </c>
      <c r="H26" s="116">
        <v>4520</v>
      </c>
      <c r="I26" s="116">
        <v>5820</v>
      </c>
      <c r="J26" s="116">
        <v>1960</v>
      </c>
      <c r="K26" s="116">
        <v>3890</v>
      </c>
      <c r="L26" s="116">
        <v>3720</v>
      </c>
      <c r="M26" s="116">
        <v>6903.3950000000004</v>
      </c>
      <c r="N26" s="116"/>
      <c r="O26" s="120">
        <f t="shared" si="3"/>
        <v>31143.395</v>
      </c>
      <c r="P26" s="110">
        <v>31143.395</v>
      </c>
      <c r="Q26" s="110">
        <f t="shared" si="1"/>
        <v>0</v>
      </c>
    </row>
    <row r="27" spans="1:17" s="51" customFormat="1" ht="13.5" thickBot="1" x14ac:dyDescent="0.25">
      <c r="A27" s="112" t="s">
        <v>215</v>
      </c>
      <c r="B27" s="57" t="s">
        <v>227</v>
      </c>
      <c r="C27" s="116">
        <v>10031.323</v>
      </c>
      <c r="D27" s="116"/>
      <c r="E27" s="116">
        <v>1330</v>
      </c>
      <c r="F27" s="116"/>
      <c r="G27" s="116"/>
      <c r="H27" s="116">
        <v>1330</v>
      </c>
      <c r="I27" s="116"/>
      <c r="J27" s="116"/>
      <c r="K27" s="116">
        <v>1330</v>
      </c>
      <c r="L27" s="116"/>
      <c r="M27" s="116"/>
      <c r="N27" s="116">
        <v>1330</v>
      </c>
      <c r="O27" s="120">
        <f t="shared" si="3"/>
        <v>15351.323</v>
      </c>
      <c r="P27" s="110">
        <v>15351.323</v>
      </c>
      <c r="Q27" s="110">
        <f t="shared" si="1"/>
        <v>0</v>
      </c>
    </row>
    <row r="28" spans="1:17" s="51" customFormat="1" ht="13.5" thickBot="1" x14ac:dyDescent="0.25">
      <c r="A28" s="112" t="s">
        <v>216</v>
      </c>
      <c r="B28" s="55" t="s">
        <v>228</v>
      </c>
      <c r="C28" s="117">
        <f>SUM(C18:C27)</f>
        <v>65437.861000000004</v>
      </c>
      <c r="D28" s="117">
        <f t="shared" ref="D28:N28" si="4">SUM(D18:D27)</f>
        <v>55722.137999999999</v>
      </c>
      <c r="E28" s="117">
        <f t="shared" si="4"/>
        <v>59887.904999999999</v>
      </c>
      <c r="F28" s="117">
        <f t="shared" si="4"/>
        <v>97291.281000000003</v>
      </c>
      <c r="G28" s="117">
        <f t="shared" si="4"/>
        <v>67980.171000000002</v>
      </c>
      <c r="H28" s="117">
        <f t="shared" si="4"/>
        <v>66588.396999999997</v>
      </c>
      <c r="I28" s="117">
        <f t="shared" si="4"/>
        <v>63134.537999999993</v>
      </c>
      <c r="J28" s="117">
        <f t="shared" si="4"/>
        <v>57771.67</v>
      </c>
      <c r="K28" s="117">
        <f t="shared" si="4"/>
        <v>105919.4</v>
      </c>
      <c r="L28" s="117">
        <f t="shared" si="4"/>
        <v>74869.618000000002</v>
      </c>
      <c r="M28" s="117">
        <f t="shared" si="4"/>
        <v>323774.19099999999</v>
      </c>
      <c r="N28" s="117">
        <f t="shared" si="4"/>
        <v>324889.86800000002</v>
      </c>
      <c r="O28" s="117">
        <f>SUM(O18:O27)</f>
        <v>1363267.0380000002</v>
      </c>
      <c r="P28" s="110">
        <f>SUM(P18:P27)</f>
        <v>1363267.0380000002</v>
      </c>
      <c r="Q28" s="110">
        <f t="shared" si="1"/>
        <v>0</v>
      </c>
    </row>
    <row r="29" spans="1:17" s="51" customFormat="1" ht="13.5" thickBot="1" x14ac:dyDescent="0.25">
      <c r="A29" s="112" t="s">
        <v>262</v>
      </c>
      <c r="B29" s="55" t="s">
        <v>229</v>
      </c>
      <c r="C29" s="117">
        <f>C16-C28</f>
        <v>633486.93299999996</v>
      </c>
      <c r="D29" s="117">
        <f t="shared" ref="D29:N29" si="5">D16-D28</f>
        <v>-12365.673999999992</v>
      </c>
      <c r="E29" s="117">
        <f t="shared" si="5"/>
        <v>20943.323000000004</v>
      </c>
      <c r="F29" s="117">
        <f t="shared" si="5"/>
        <v>-56703.705999999998</v>
      </c>
      <c r="G29" s="117">
        <f>G16-G28</f>
        <v>-14457.638999999996</v>
      </c>
      <c r="H29" s="117">
        <f t="shared" si="5"/>
        <v>-21515.838999999993</v>
      </c>
      <c r="I29" s="117">
        <f t="shared" si="5"/>
        <v>-20132.103999999985</v>
      </c>
      <c r="J29" s="117">
        <f t="shared" si="5"/>
        <v>-11156.159</v>
      </c>
      <c r="K29" s="117">
        <f t="shared" si="5"/>
        <v>3579.622000000003</v>
      </c>
      <c r="L29" s="117">
        <f t="shared" si="5"/>
        <v>-36631.165999999997</v>
      </c>
      <c r="M29" s="117">
        <f t="shared" si="5"/>
        <v>-285966.739</v>
      </c>
      <c r="N29" s="117">
        <f t="shared" si="5"/>
        <v>-199080.85200000001</v>
      </c>
      <c r="O29" s="117">
        <f>O16-O28</f>
        <v>0</v>
      </c>
      <c r="P29" s="110"/>
    </row>
  </sheetData>
  <mergeCells count="5">
    <mergeCell ref="A1:O1"/>
    <mergeCell ref="A2:O2"/>
    <mergeCell ref="A3:O3"/>
    <mergeCell ref="B6:O6"/>
    <mergeCell ref="B17:O17"/>
  </mergeCells>
  <pageMargins left="0.7" right="0.7" top="0.75" bottom="0.75" header="0.3" footer="0.3"/>
  <pageSetup paperSize="9" scale="74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7"/>
  <sheetViews>
    <sheetView workbookViewId="0">
      <selection activeCell="C32" sqref="C32"/>
    </sheetView>
  </sheetViews>
  <sheetFormatPr defaultRowHeight="15" x14ac:dyDescent="0.25"/>
  <cols>
    <col min="1" max="1" width="6" style="1" customWidth="1"/>
    <col min="2" max="2" width="38.42578125" customWidth="1"/>
    <col min="3" max="3" width="25.5703125" customWidth="1"/>
    <col min="4" max="4" width="12.7109375" customWidth="1"/>
  </cols>
  <sheetData>
    <row r="1" spans="1:4" x14ac:dyDescent="0.25">
      <c r="A1" s="155" t="s">
        <v>256</v>
      </c>
      <c r="B1" s="155"/>
      <c r="C1" s="155"/>
      <c r="D1" s="155"/>
    </row>
    <row r="3" spans="1:4" x14ac:dyDescent="0.25">
      <c r="A3" s="156" t="s">
        <v>231</v>
      </c>
      <c r="B3" s="156"/>
      <c r="C3" s="156"/>
      <c r="D3" s="156"/>
    </row>
    <row r="4" spans="1:4" x14ac:dyDescent="0.25">
      <c r="A4" s="156" t="s">
        <v>267</v>
      </c>
      <c r="B4" s="156"/>
      <c r="C4" s="156"/>
      <c r="D4" s="156"/>
    </row>
    <row r="5" spans="1:4" ht="15.75" thickBot="1" x14ac:dyDescent="0.3"/>
    <row r="6" spans="1:4" s="58" customFormat="1" ht="45.75" thickBot="1" x14ac:dyDescent="0.3">
      <c r="A6" s="63" t="s">
        <v>5</v>
      </c>
      <c r="B6" s="64" t="s">
        <v>232</v>
      </c>
      <c r="C6" s="64" t="s">
        <v>233</v>
      </c>
      <c r="D6" s="65" t="s">
        <v>234</v>
      </c>
    </row>
    <row r="7" spans="1:4" ht="30" x14ac:dyDescent="0.25">
      <c r="A7" s="61" t="s">
        <v>7</v>
      </c>
      <c r="B7" s="81" t="s">
        <v>254</v>
      </c>
      <c r="C7" s="62" t="s">
        <v>255</v>
      </c>
      <c r="D7" s="82">
        <v>4000</v>
      </c>
    </row>
    <row r="8" spans="1:4" x14ac:dyDescent="0.25">
      <c r="A8" s="59" t="s">
        <v>20</v>
      </c>
      <c r="B8" s="60"/>
      <c r="C8" s="60"/>
      <c r="D8" s="83"/>
    </row>
    <row r="9" spans="1:4" x14ac:dyDescent="0.25">
      <c r="A9" s="59" t="s">
        <v>28</v>
      </c>
      <c r="B9" s="60"/>
      <c r="C9" s="60"/>
      <c r="D9" s="83"/>
    </row>
    <row r="10" spans="1:4" x14ac:dyDescent="0.25">
      <c r="A10" s="59" t="s">
        <v>36</v>
      </c>
      <c r="B10" s="60"/>
      <c r="C10" s="60"/>
      <c r="D10" s="83"/>
    </row>
    <row r="11" spans="1:4" x14ac:dyDescent="0.25">
      <c r="A11" s="59" t="s">
        <v>48</v>
      </c>
      <c r="B11" s="60"/>
      <c r="C11" s="60"/>
      <c r="D11" s="83"/>
    </row>
    <row r="12" spans="1:4" x14ac:dyDescent="0.25">
      <c r="A12" s="59" t="s">
        <v>50</v>
      </c>
      <c r="B12" s="60"/>
      <c r="C12" s="60"/>
      <c r="D12" s="83"/>
    </row>
    <row r="13" spans="1:4" x14ac:dyDescent="0.25">
      <c r="A13" s="59" t="s">
        <v>52</v>
      </c>
      <c r="B13" s="60"/>
      <c r="C13" s="60"/>
      <c r="D13" s="83"/>
    </row>
    <row r="14" spans="1:4" x14ac:dyDescent="0.25">
      <c r="A14" s="59" t="s">
        <v>53</v>
      </c>
      <c r="B14" s="60"/>
      <c r="C14" s="60"/>
      <c r="D14" s="83"/>
    </row>
    <row r="15" spans="1:4" x14ac:dyDescent="0.25">
      <c r="A15" s="59" t="s">
        <v>55</v>
      </c>
      <c r="B15" s="60"/>
      <c r="C15" s="60"/>
      <c r="D15" s="83"/>
    </row>
    <row r="16" spans="1:4" x14ac:dyDescent="0.25">
      <c r="A16" s="59" t="s">
        <v>57</v>
      </c>
      <c r="B16" s="60"/>
      <c r="C16" s="60"/>
      <c r="D16" s="83"/>
    </row>
    <row r="17" spans="1:4" x14ac:dyDescent="0.25">
      <c r="A17" s="59" t="s">
        <v>64</v>
      </c>
      <c r="B17" s="60"/>
      <c r="C17" s="60"/>
      <c r="D17" s="83"/>
    </row>
    <row r="18" spans="1:4" x14ac:dyDescent="0.25">
      <c r="A18" s="59" t="s">
        <v>66</v>
      </c>
      <c r="B18" s="60"/>
      <c r="C18" s="60"/>
      <c r="D18" s="83"/>
    </row>
    <row r="19" spans="1:4" x14ac:dyDescent="0.25">
      <c r="A19" s="59" t="s">
        <v>67</v>
      </c>
      <c r="B19" s="60"/>
      <c r="C19" s="60"/>
      <c r="D19" s="83"/>
    </row>
    <row r="20" spans="1:4" x14ac:dyDescent="0.25">
      <c r="A20" s="59" t="s">
        <v>73</v>
      </c>
      <c r="B20" s="60"/>
      <c r="C20" s="60"/>
      <c r="D20" s="83"/>
    </row>
    <row r="21" spans="1:4" x14ac:dyDescent="0.25">
      <c r="A21" s="59" t="s">
        <v>75</v>
      </c>
      <c r="B21" s="60"/>
      <c r="C21" s="60"/>
      <c r="D21" s="83"/>
    </row>
    <row r="22" spans="1:4" x14ac:dyDescent="0.25">
      <c r="A22" s="59" t="s">
        <v>151</v>
      </c>
      <c r="B22" s="60"/>
      <c r="C22" s="60"/>
      <c r="D22" s="83"/>
    </row>
    <row r="23" spans="1:4" x14ac:dyDescent="0.25">
      <c r="A23" s="59" t="s">
        <v>79</v>
      </c>
      <c r="B23" s="60"/>
      <c r="C23" s="60"/>
      <c r="D23" s="83"/>
    </row>
    <row r="24" spans="1:4" x14ac:dyDescent="0.25">
      <c r="A24" s="59" t="s">
        <v>81</v>
      </c>
      <c r="B24" s="60"/>
      <c r="C24" s="60"/>
      <c r="D24" s="83"/>
    </row>
    <row r="25" spans="1:4" x14ac:dyDescent="0.25">
      <c r="A25" s="59" t="s">
        <v>160</v>
      </c>
      <c r="B25" s="60"/>
      <c r="C25" s="60"/>
      <c r="D25" s="83"/>
    </row>
    <row r="26" spans="1:4" ht="15.75" thickBot="1" x14ac:dyDescent="0.3">
      <c r="A26" s="66" t="s">
        <v>173</v>
      </c>
      <c r="B26" s="67"/>
      <c r="C26" s="67"/>
      <c r="D26" s="84"/>
    </row>
    <row r="27" spans="1:4" ht="15.75" thickBot="1" x14ac:dyDescent="0.3">
      <c r="A27" s="68" t="s">
        <v>174</v>
      </c>
      <c r="B27" s="69" t="s">
        <v>180</v>
      </c>
      <c r="C27" s="69"/>
      <c r="D27" s="85">
        <v>4000</v>
      </c>
    </row>
  </sheetData>
  <mergeCells count="3">
    <mergeCell ref="A1:D1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6"/>
  <sheetViews>
    <sheetView topLeftCell="A7" workbookViewId="0">
      <selection activeCell="B13" sqref="B13"/>
    </sheetView>
  </sheetViews>
  <sheetFormatPr defaultRowHeight="15.75" x14ac:dyDescent="0.25"/>
  <cols>
    <col min="1" max="1" width="5.5703125" style="30" customWidth="1"/>
    <col min="2" max="2" width="52.42578125" style="2" customWidth="1"/>
    <col min="3" max="4" width="14.28515625" style="2" bestFit="1" customWidth="1"/>
    <col min="5" max="5" width="15.42578125" style="129" bestFit="1" customWidth="1"/>
    <col min="6" max="16384" width="9.140625" style="2"/>
  </cols>
  <sheetData>
    <row r="1" spans="1:5" x14ac:dyDescent="0.25">
      <c r="A1" s="145" t="s">
        <v>230</v>
      </c>
      <c r="B1" s="145"/>
      <c r="C1" s="145"/>
      <c r="D1" s="145"/>
      <c r="E1" s="145"/>
    </row>
    <row r="2" spans="1:5" x14ac:dyDescent="0.25">
      <c r="A2" s="139" t="s">
        <v>1</v>
      </c>
      <c r="B2" s="139"/>
      <c r="C2" s="139"/>
      <c r="D2" s="139"/>
      <c r="E2" s="139"/>
    </row>
    <row r="3" spans="1:5" x14ac:dyDescent="0.25">
      <c r="A3" s="139" t="s">
        <v>268</v>
      </c>
      <c r="B3" s="139"/>
      <c r="C3" s="139"/>
      <c r="D3" s="139"/>
      <c r="E3" s="139"/>
    </row>
    <row r="4" spans="1:5" x14ac:dyDescent="0.25">
      <c r="A4" s="139" t="s">
        <v>235</v>
      </c>
      <c r="B4" s="139"/>
      <c r="C4" s="139"/>
      <c r="D4" s="139"/>
      <c r="E4" s="139"/>
    </row>
    <row r="5" spans="1:5" ht="16.5" thickBot="1" x14ac:dyDescent="0.3">
      <c r="A5" s="72" t="s">
        <v>236</v>
      </c>
      <c r="E5" s="121" t="s">
        <v>258</v>
      </c>
    </row>
    <row r="6" spans="1:5" s="29" customFormat="1" ht="48" thickBot="1" x14ac:dyDescent="0.3">
      <c r="A6" s="8" t="s">
        <v>5</v>
      </c>
      <c r="B6" s="6" t="s">
        <v>6</v>
      </c>
      <c r="C6" s="73" t="s">
        <v>237</v>
      </c>
      <c r="D6" s="73" t="s">
        <v>270</v>
      </c>
      <c r="E6" s="122" t="s">
        <v>290</v>
      </c>
    </row>
    <row r="7" spans="1:5" s="29" customFormat="1" ht="16.5" thickBot="1" x14ac:dyDescent="0.3">
      <c r="A7" s="70" t="s">
        <v>133</v>
      </c>
      <c r="B7" s="48" t="s">
        <v>134</v>
      </c>
      <c r="C7" s="49" t="s">
        <v>135</v>
      </c>
      <c r="D7" s="49" t="s">
        <v>136</v>
      </c>
      <c r="E7" s="123" t="s">
        <v>137</v>
      </c>
    </row>
    <row r="8" spans="1:5" x14ac:dyDescent="0.25">
      <c r="A8" s="21" t="s">
        <v>7</v>
      </c>
      <c r="B8" s="12" t="s">
        <v>238</v>
      </c>
      <c r="C8" s="92">
        <v>289048.07</v>
      </c>
      <c r="D8" s="92">
        <v>280376.62800000003</v>
      </c>
      <c r="E8" s="124">
        <v>274769.09499999997</v>
      </c>
    </row>
    <row r="9" spans="1:5" x14ac:dyDescent="0.25">
      <c r="A9" s="22" t="s">
        <v>20</v>
      </c>
      <c r="B9" s="14" t="s">
        <v>240</v>
      </c>
      <c r="C9" s="93">
        <v>111583.408</v>
      </c>
      <c r="D9" s="93">
        <v>113815.076</v>
      </c>
      <c r="E9" s="125">
        <v>110400.624</v>
      </c>
    </row>
    <row r="10" spans="1:5" ht="16.5" thickBot="1" x14ac:dyDescent="0.3">
      <c r="A10" s="24" t="s">
        <v>28</v>
      </c>
      <c r="B10" s="16" t="s">
        <v>239</v>
      </c>
      <c r="C10" s="94">
        <v>117562.95</v>
      </c>
      <c r="D10" s="94">
        <v>15000</v>
      </c>
      <c r="E10" s="126">
        <v>20000</v>
      </c>
    </row>
    <row r="11" spans="1:5" ht="16.5" thickBot="1" x14ac:dyDescent="0.3">
      <c r="A11" s="71" t="s">
        <v>36</v>
      </c>
      <c r="B11" s="45" t="s">
        <v>220</v>
      </c>
      <c r="C11" s="107">
        <f>C12+C15+C16+C17</f>
        <v>118432</v>
      </c>
      <c r="D11" s="107">
        <f t="shared" ref="D11:E11" si="0">D12+D15+D16+D17</f>
        <v>118595</v>
      </c>
      <c r="E11" s="107">
        <f t="shared" si="0"/>
        <v>118554</v>
      </c>
    </row>
    <row r="12" spans="1:5" x14ac:dyDescent="0.25">
      <c r="A12" s="21" t="s">
        <v>38</v>
      </c>
      <c r="B12" s="12" t="s">
        <v>241</v>
      </c>
      <c r="C12" s="92">
        <f>SUM(C13:C14)</f>
        <v>106050</v>
      </c>
      <c r="D12" s="92">
        <f>SUM(D13:D14)</f>
        <v>106090</v>
      </c>
      <c r="E12" s="124">
        <f>SUM(E13:E14)</f>
        <v>106050</v>
      </c>
    </row>
    <row r="13" spans="1:5" x14ac:dyDescent="0.25">
      <c r="A13" s="22" t="s">
        <v>39</v>
      </c>
      <c r="B13" s="14" t="s">
        <v>288</v>
      </c>
      <c r="C13" s="93">
        <v>50</v>
      </c>
      <c r="D13" s="93">
        <v>90</v>
      </c>
      <c r="E13" s="125">
        <v>50</v>
      </c>
    </row>
    <row r="14" spans="1:5" x14ac:dyDescent="0.25">
      <c r="A14" s="22" t="s">
        <v>40</v>
      </c>
      <c r="B14" s="14" t="s">
        <v>289</v>
      </c>
      <c r="C14" s="93">
        <v>106000</v>
      </c>
      <c r="D14" s="93">
        <v>106000</v>
      </c>
      <c r="E14" s="125">
        <v>106000</v>
      </c>
    </row>
    <row r="15" spans="1:5" x14ac:dyDescent="0.25">
      <c r="A15" s="22" t="s">
        <v>42</v>
      </c>
      <c r="B15" s="14" t="s">
        <v>43</v>
      </c>
      <c r="C15" s="93">
        <v>11000</v>
      </c>
      <c r="D15" s="93">
        <v>11000</v>
      </c>
      <c r="E15" s="125">
        <v>11000</v>
      </c>
    </row>
    <row r="16" spans="1:5" x14ac:dyDescent="0.25">
      <c r="A16" s="22" t="s">
        <v>44</v>
      </c>
      <c r="B16" s="14" t="s">
        <v>45</v>
      </c>
      <c r="C16" s="93">
        <v>2</v>
      </c>
      <c r="D16" s="93">
        <v>5</v>
      </c>
      <c r="E16" s="125">
        <v>4</v>
      </c>
    </row>
    <row r="17" spans="1:5" x14ac:dyDescent="0.25">
      <c r="A17" s="22" t="s">
        <v>242</v>
      </c>
      <c r="B17" s="14" t="s">
        <v>47</v>
      </c>
      <c r="C17" s="93">
        <v>1380</v>
      </c>
      <c r="D17" s="93">
        <v>1500</v>
      </c>
      <c r="E17" s="125">
        <v>1500</v>
      </c>
    </row>
    <row r="18" spans="1:5" x14ac:dyDescent="0.25">
      <c r="A18" s="22" t="s">
        <v>48</v>
      </c>
      <c r="B18" s="14" t="s">
        <v>221</v>
      </c>
      <c r="C18" s="93">
        <v>66433.5</v>
      </c>
      <c r="D18" s="93">
        <f>C18*1.01</f>
        <v>67097.835000000006</v>
      </c>
      <c r="E18" s="125">
        <v>67768.812999999995</v>
      </c>
    </row>
    <row r="19" spans="1:5" x14ac:dyDescent="0.25">
      <c r="A19" s="22" t="s">
        <v>50</v>
      </c>
      <c r="B19" s="14" t="s">
        <v>51</v>
      </c>
      <c r="C19" s="93"/>
      <c r="D19" s="93"/>
      <c r="E19" s="125"/>
    </row>
    <row r="20" spans="1:5" x14ac:dyDescent="0.25">
      <c r="A20" s="22" t="s">
        <v>52</v>
      </c>
      <c r="B20" s="14" t="s">
        <v>138</v>
      </c>
      <c r="C20" s="93">
        <v>258</v>
      </c>
      <c r="D20" s="93">
        <v>278</v>
      </c>
      <c r="E20" s="125">
        <v>305</v>
      </c>
    </row>
    <row r="21" spans="1:5" ht="16.5" thickBot="1" x14ac:dyDescent="0.3">
      <c r="A21" s="24" t="s">
        <v>53</v>
      </c>
      <c r="B21" s="16" t="s">
        <v>54</v>
      </c>
      <c r="C21" s="94"/>
      <c r="D21" s="94"/>
      <c r="E21" s="126"/>
    </row>
    <row r="22" spans="1:5" ht="16.5" thickBot="1" x14ac:dyDescent="0.3">
      <c r="A22" s="76" t="s">
        <v>55</v>
      </c>
      <c r="B22" s="77" t="s">
        <v>243</v>
      </c>
      <c r="C22" s="107">
        <f>C8+C9+C10+C11+C18+C20</f>
        <v>703317.92800000007</v>
      </c>
      <c r="D22" s="107">
        <f>D8+D9+D10+D11+D18+D20</f>
        <v>595162.53899999999</v>
      </c>
      <c r="E22" s="128">
        <f>E8+E9+E10+E11+E18+E20</f>
        <v>591797.53200000001</v>
      </c>
    </row>
    <row r="23" spans="1:5" ht="16.5" thickBot="1" x14ac:dyDescent="0.3">
      <c r="A23" s="71" t="s">
        <v>57</v>
      </c>
      <c r="B23" s="45" t="s">
        <v>244</v>
      </c>
      <c r="C23" s="107">
        <v>659949.11</v>
      </c>
      <c r="D23" s="107">
        <f>500206.92-2466.223</f>
        <v>497740.69699999999</v>
      </c>
      <c r="E23" s="127">
        <v>110530</v>
      </c>
    </row>
    <row r="24" spans="1:5" ht="16.5" thickBot="1" x14ac:dyDescent="0.3">
      <c r="A24" s="71" t="s">
        <v>64</v>
      </c>
      <c r="B24" s="45" t="s">
        <v>245</v>
      </c>
      <c r="C24" s="107">
        <f>C22+C23</f>
        <v>1363267.0380000002</v>
      </c>
      <c r="D24" s="107">
        <f>D22+D23</f>
        <v>1092903.236</v>
      </c>
      <c r="E24" s="127">
        <f t="shared" ref="E24" si="1">E22+E23</f>
        <v>702327.53200000001</v>
      </c>
    </row>
    <row r="26" spans="1:5" ht="16.5" thickBot="1" x14ac:dyDescent="0.3">
      <c r="A26" s="4" t="s">
        <v>84</v>
      </c>
    </row>
    <row r="27" spans="1:5" ht="48" thickBot="1" x14ac:dyDescent="0.3">
      <c r="A27" s="8" t="s">
        <v>5</v>
      </c>
      <c r="B27" s="6" t="s">
        <v>85</v>
      </c>
      <c r="C27" s="73" t="s">
        <v>291</v>
      </c>
      <c r="D27" s="73" t="s">
        <v>270</v>
      </c>
      <c r="E27" s="122" t="s">
        <v>290</v>
      </c>
    </row>
    <row r="28" spans="1:5" ht="16.5" thickBot="1" x14ac:dyDescent="0.3">
      <c r="A28" s="70" t="s">
        <v>133</v>
      </c>
      <c r="B28" s="48" t="s">
        <v>134</v>
      </c>
      <c r="C28" s="49" t="s">
        <v>135</v>
      </c>
      <c r="D28" s="49" t="s">
        <v>136</v>
      </c>
      <c r="E28" s="123" t="s">
        <v>137</v>
      </c>
    </row>
    <row r="29" spans="1:5" x14ac:dyDescent="0.25">
      <c r="A29" s="21" t="s">
        <v>7</v>
      </c>
      <c r="B29" s="12" t="s">
        <v>246</v>
      </c>
      <c r="C29" s="92">
        <v>743505.853</v>
      </c>
      <c r="D29" s="92">
        <f>547138.268+44797.524</f>
        <v>591935.79200000002</v>
      </c>
      <c r="E29" s="124">
        <f>549280+53459.766</f>
        <v>602739.76600000006</v>
      </c>
    </row>
    <row r="30" spans="1:5" x14ac:dyDescent="0.25">
      <c r="A30" s="22" t="s">
        <v>20</v>
      </c>
      <c r="B30" s="14" t="s">
        <v>247</v>
      </c>
      <c r="C30" s="93"/>
      <c r="D30" s="93"/>
      <c r="E30" s="125"/>
    </row>
    <row r="31" spans="1:5" x14ac:dyDescent="0.25">
      <c r="A31" s="22" t="s">
        <v>22</v>
      </c>
      <c r="B31" s="14" t="s">
        <v>248</v>
      </c>
      <c r="C31" s="93">
        <v>575368.06200000003</v>
      </c>
      <c r="D31" s="93">
        <f>425206.92+44797.524</f>
        <v>470004.44399999996</v>
      </c>
      <c r="E31" s="125">
        <f>20000+53459.766</f>
        <v>73459.766000000003</v>
      </c>
    </row>
    <row r="32" spans="1:5" x14ac:dyDescent="0.25">
      <c r="A32" s="22" t="s">
        <v>24</v>
      </c>
      <c r="B32" s="14" t="s">
        <v>249</v>
      </c>
      <c r="C32" s="93">
        <v>28041.8</v>
      </c>
      <c r="D32" s="93">
        <v>15000</v>
      </c>
      <c r="E32" s="125">
        <v>10000</v>
      </c>
    </row>
    <row r="33" spans="1:5" ht="16.5" thickBot="1" x14ac:dyDescent="0.3">
      <c r="A33" s="24" t="s">
        <v>26</v>
      </c>
      <c r="B33" s="16" t="s">
        <v>250</v>
      </c>
      <c r="C33" s="94">
        <v>1000</v>
      </c>
      <c r="D33" s="94"/>
      <c r="E33" s="126"/>
    </row>
    <row r="34" spans="1:5" ht="16.5" thickBot="1" x14ac:dyDescent="0.3">
      <c r="A34" s="71" t="s">
        <v>28</v>
      </c>
      <c r="B34" s="45" t="s">
        <v>251</v>
      </c>
      <c r="C34" s="107">
        <f>C29+C31+C32+C33</f>
        <v>1347915.7150000001</v>
      </c>
      <c r="D34" s="107">
        <f t="shared" ref="D34:E34" si="2">D29+D31+D32</f>
        <v>1076940.236</v>
      </c>
      <c r="E34" s="128">
        <f t="shared" si="2"/>
        <v>686199.53200000012</v>
      </c>
    </row>
    <row r="35" spans="1:5" ht="16.5" thickBot="1" x14ac:dyDescent="0.3">
      <c r="A35" s="71" t="s">
        <v>36</v>
      </c>
      <c r="B35" s="45" t="s">
        <v>252</v>
      </c>
      <c r="C35" s="107">
        <v>15351.323</v>
      </c>
      <c r="D35" s="107">
        <v>15963</v>
      </c>
      <c r="E35" s="127">
        <v>16128</v>
      </c>
    </row>
    <row r="36" spans="1:5" ht="16.5" thickBot="1" x14ac:dyDescent="0.3">
      <c r="A36" s="71" t="s">
        <v>48</v>
      </c>
      <c r="B36" s="45" t="s">
        <v>253</v>
      </c>
      <c r="C36" s="107">
        <f>C34+C35</f>
        <v>1363267.0380000002</v>
      </c>
      <c r="D36" s="107">
        <f t="shared" ref="D36:E36" si="3">D34+D35</f>
        <v>1092903.236</v>
      </c>
      <c r="E36" s="127">
        <f t="shared" si="3"/>
        <v>702327.53200000012</v>
      </c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1.összevont</vt:lpstr>
      <vt:lpstr>2.többéveskihat</vt:lpstr>
      <vt:lpstr>3. kedvezmények</vt:lpstr>
      <vt:lpstr>4.EI felhterv</vt:lpstr>
      <vt:lpstr>5.támogatások</vt:lpstr>
      <vt:lpstr>6.gördülő</vt:lpstr>
      <vt:lpstr>'2.többéveskihat'!Nyomtatási_terület</vt:lpstr>
      <vt:lpstr>'4.EI felhterv'!Nyomtatási_terület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2019-03-07T10:10:26Z</dcterms:modified>
</cp:coreProperties>
</file>