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Munka1!$A$1:$U$153</definedName>
  </definedNames>
  <calcPr calcId="145621"/>
</workbook>
</file>

<file path=xl/calcChain.xml><?xml version="1.0" encoding="utf-8"?>
<calcChain xmlns="http://schemas.openxmlformats.org/spreadsheetml/2006/main">
  <c r="M147" i="1" l="1"/>
  <c r="M148" i="1"/>
  <c r="M149" i="1"/>
  <c r="M150" i="1"/>
  <c r="M151" i="1"/>
  <c r="M146" i="1"/>
  <c r="T30" i="1"/>
  <c r="L147" i="1"/>
  <c r="L148" i="1"/>
  <c r="L149" i="1"/>
  <c r="L150" i="1"/>
  <c r="L151" i="1"/>
  <c r="L146" i="1"/>
  <c r="K151" i="1"/>
  <c r="D3" i="2"/>
  <c r="D4" i="2"/>
  <c r="D5" i="2"/>
  <c r="D6" i="2"/>
  <c r="D7" i="2"/>
  <c r="D2" i="2"/>
  <c r="C3" i="2"/>
  <c r="C4" i="2"/>
  <c r="C5" i="2"/>
  <c r="C6" i="2"/>
  <c r="C7" i="2"/>
  <c r="C2" i="2"/>
  <c r="B7" i="2"/>
  <c r="T90" i="1"/>
  <c r="S132" i="1"/>
  <c r="S114" i="1"/>
  <c r="S110" i="1"/>
  <c r="S109" i="1"/>
  <c r="S108" i="1"/>
  <c r="Q88" i="1"/>
  <c r="T76" i="1"/>
  <c r="S86" i="1"/>
  <c r="Q101" i="1"/>
  <c r="Q24" i="1"/>
  <c r="T114" i="1" l="1"/>
  <c r="T127" i="1" l="1"/>
  <c r="T57" i="1" l="1"/>
  <c r="N57" i="1"/>
  <c r="T56" i="1"/>
  <c r="N56" i="1"/>
  <c r="T55" i="1"/>
  <c r="N55" i="1"/>
  <c r="N54" i="1"/>
  <c r="Q36" i="1"/>
  <c r="L36" i="1"/>
  <c r="T106" i="1"/>
  <c r="T84" i="1" l="1"/>
  <c r="T119" i="1"/>
  <c r="T54" i="1"/>
  <c r="K36" i="1"/>
  <c r="N50" i="1" l="1"/>
  <c r="N51" i="1"/>
  <c r="N52" i="1"/>
  <c r="N53" i="1"/>
  <c r="T49" i="1"/>
  <c r="T50" i="1"/>
  <c r="T51" i="1"/>
  <c r="T52" i="1"/>
  <c r="T53" i="1"/>
  <c r="N49" i="1"/>
  <c r="L13" i="1" l="1"/>
  <c r="N87" i="1"/>
  <c r="Q94" i="1"/>
  <c r="Q22" i="1"/>
  <c r="N36" i="1" l="1"/>
  <c r="E93" i="1" l="1"/>
  <c r="K93" i="1"/>
  <c r="N93" i="1"/>
  <c r="E94" i="1"/>
  <c r="H94" i="1"/>
  <c r="K94" i="1" s="1"/>
  <c r="N94" i="1"/>
  <c r="T94" i="1"/>
  <c r="E95" i="1"/>
  <c r="K95" i="1"/>
  <c r="N95" i="1"/>
  <c r="T95" i="1"/>
  <c r="E96" i="1"/>
  <c r="K96" i="1"/>
  <c r="N96" i="1"/>
  <c r="T96" i="1"/>
  <c r="E97" i="1"/>
  <c r="K97" i="1"/>
  <c r="N97" i="1"/>
  <c r="T97" i="1"/>
  <c r="B148" i="1" l="1"/>
  <c r="T81" i="1" l="1"/>
  <c r="T120" i="1"/>
  <c r="Q58" i="1"/>
  <c r="T86" i="1"/>
  <c r="T118" i="1"/>
  <c r="T89" i="1"/>
  <c r="J90" i="1"/>
  <c r="L90" i="1"/>
  <c r="M90" i="1"/>
  <c r="O90" i="1"/>
  <c r="P90" i="1"/>
  <c r="Q90" i="1"/>
  <c r="R90" i="1"/>
  <c r="S90" i="1"/>
  <c r="I90" i="1"/>
  <c r="T136" i="1"/>
  <c r="T137" i="1"/>
  <c r="T138" i="1"/>
  <c r="R78" i="1"/>
  <c r="S78" i="1"/>
  <c r="F78" i="1"/>
  <c r="G78" i="1"/>
  <c r="J78" i="1"/>
  <c r="T77" i="1"/>
  <c r="D139" i="1"/>
  <c r="F139" i="1"/>
  <c r="G139" i="1"/>
  <c r="I139" i="1"/>
  <c r="J139" i="1"/>
  <c r="L139" i="1"/>
  <c r="M139" i="1"/>
  <c r="O139" i="1"/>
  <c r="P139" i="1"/>
  <c r="Q139" i="1"/>
  <c r="R139" i="1"/>
  <c r="S139" i="1"/>
  <c r="C139" i="1"/>
  <c r="T124" i="1"/>
  <c r="T135" i="1"/>
  <c r="T134" i="1"/>
  <c r="T133" i="1"/>
  <c r="T132" i="1"/>
  <c r="T59" i="1"/>
  <c r="T130" i="1"/>
  <c r="T129" i="1"/>
  <c r="T128" i="1"/>
  <c r="T126" i="1"/>
  <c r="T125" i="1"/>
  <c r="T85" i="1"/>
  <c r="T121" i="1"/>
  <c r="T117" i="1"/>
  <c r="T116" i="1"/>
  <c r="T115" i="1"/>
  <c r="T113" i="1"/>
  <c r="T107" i="1"/>
  <c r="R142" i="1" l="1"/>
  <c r="S142" i="1"/>
  <c r="L62" i="1" l="1"/>
  <c r="M68" i="1"/>
  <c r="K83" i="1" l="1"/>
  <c r="I17" i="1"/>
  <c r="I78" i="1" s="1"/>
  <c r="T83" i="1"/>
  <c r="L75" i="1" l="1"/>
  <c r="P62" i="1"/>
  <c r="O62" i="1"/>
  <c r="M62" i="1" l="1"/>
  <c r="N13" i="1"/>
  <c r="M19" i="1"/>
  <c r="L19" i="1"/>
  <c r="P21" i="1"/>
  <c r="P78" i="1" s="1"/>
  <c r="P142" i="1" s="1"/>
  <c r="O21" i="1"/>
  <c r="O78" i="1" s="1"/>
  <c r="O142" i="1" s="1"/>
  <c r="T58" i="1"/>
  <c r="T112" i="1"/>
  <c r="K66" i="1"/>
  <c r="K67" i="1"/>
  <c r="K68" i="1"/>
  <c r="K69" i="1"/>
  <c r="K70" i="1"/>
  <c r="K71" i="1"/>
  <c r="K72" i="1"/>
  <c r="K73" i="1"/>
  <c r="K74" i="1"/>
  <c r="K75" i="1"/>
  <c r="E67" i="1"/>
  <c r="E68" i="1"/>
  <c r="E69" i="1"/>
  <c r="E70" i="1"/>
  <c r="E71" i="1"/>
  <c r="E72" i="1"/>
  <c r="E73" i="1"/>
  <c r="E74" i="1"/>
  <c r="D75" i="1"/>
  <c r="E75" i="1" s="1"/>
  <c r="T88" i="1"/>
  <c r="T75" i="1"/>
  <c r="T74" i="1"/>
  <c r="T73" i="1"/>
  <c r="T72" i="1"/>
  <c r="M75" i="1"/>
  <c r="N75" i="1" s="1"/>
  <c r="N74" i="1"/>
  <c r="N73" i="1"/>
  <c r="N72" i="1"/>
  <c r="T70" i="1"/>
  <c r="T71" i="1"/>
  <c r="N70" i="1"/>
  <c r="N71" i="1"/>
  <c r="T69" i="1"/>
  <c r="N67" i="1"/>
  <c r="N68" i="1"/>
  <c r="N69" i="1"/>
  <c r="T68" i="1"/>
  <c r="T67" i="1"/>
  <c r="T65" i="1"/>
  <c r="T66" i="1"/>
  <c r="L58" i="1" l="1"/>
  <c r="T64" i="1" l="1"/>
  <c r="T103" i="1"/>
  <c r="T104" i="1"/>
  <c r="T63" i="1"/>
  <c r="N99" i="1"/>
  <c r="N100" i="1"/>
  <c r="N101" i="1"/>
  <c r="N102" i="1"/>
  <c r="T101" i="1"/>
  <c r="T102" i="1"/>
  <c r="T100" i="1"/>
  <c r="T62" i="1"/>
  <c r="N103" i="1" l="1"/>
  <c r="N104" i="1"/>
  <c r="N63" i="1"/>
  <c r="N64" i="1"/>
  <c r="N62" i="1"/>
  <c r="K64" i="1" l="1"/>
  <c r="K63" i="1"/>
  <c r="K102" i="1"/>
  <c r="E102" i="1"/>
  <c r="K101" i="1"/>
  <c r="E101" i="1"/>
  <c r="K100" i="1"/>
  <c r="E100" i="1"/>
  <c r="K104" i="1"/>
  <c r="K103" i="1"/>
  <c r="E103" i="1"/>
  <c r="K62" i="1"/>
  <c r="E64" i="1"/>
  <c r="E63" i="1"/>
  <c r="E104" i="1"/>
  <c r="D62" i="1"/>
  <c r="E62" i="1" s="1"/>
  <c r="N58" i="1" l="1"/>
  <c r="T60" i="1"/>
  <c r="N60" i="1"/>
  <c r="K60" i="1"/>
  <c r="E60" i="1"/>
  <c r="K58" i="1"/>
  <c r="E98" i="1"/>
  <c r="E99" i="1"/>
  <c r="L21" i="1" l="1"/>
  <c r="C21" i="1"/>
  <c r="E21" i="1" s="1"/>
  <c r="H25" i="1"/>
  <c r="H78" i="1" s="1"/>
  <c r="D24" i="1"/>
  <c r="K98" i="1"/>
  <c r="K99" i="1"/>
  <c r="K108" i="1"/>
  <c r="K109" i="1"/>
  <c r="K110" i="1"/>
  <c r="K111" i="1"/>
  <c r="K82" i="1"/>
  <c r="K90" i="1" s="1"/>
  <c r="K17" i="1"/>
  <c r="K18" i="1"/>
  <c r="K19" i="1"/>
  <c r="K20" i="1"/>
  <c r="K21" i="1"/>
  <c r="K22" i="1"/>
  <c r="K23" i="1"/>
  <c r="K24" i="1"/>
  <c r="K26" i="1"/>
  <c r="K27" i="1"/>
  <c r="K28" i="1"/>
  <c r="K29" i="1"/>
  <c r="K31" i="1"/>
  <c r="K32" i="1"/>
  <c r="K33" i="1"/>
  <c r="K34" i="1"/>
  <c r="K105" i="1"/>
  <c r="K35" i="1"/>
  <c r="K87" i="1"/>
  <c r="K37" i="1"/>
  <c r="K38" i="1"/>
  <c r="K39" i="1"/>
  <c r="K40" i="1"/>
  <c r="K41" i="1"/>
  <c r="K42" i="1"/>
  <c r="K43" i="1"/>
  <c r="K44" i="1"/>
  <c r="K45" i="1"/>
  <c r="K46" i="1"/>
  <c r="K47" i="1"/>
  <c r="K48" i="1"/>
  <c r="K14" i="1"/>
  <c r="K15" i="1"/>
  <c r="E6" i="1"/>
  <c r="E7" i="1"/>
  <c r="E8" i="1"/>
  <c r="E9" i="1"/>
  <c r="E10" i="1"/>
  <c r="E11" i="1"/>
  <c r="E12" i="1"/>
  <c r="E14" i="1"/>
  <c r="E15" i="1"/>
  <c r="E16" i="1"/>
  <c r="E108" i="1"/>
  <c r="E109" i="1"/>
  <c r="E110" i="1"/>
  <c r="E111" i="1"/>
  <c r="E82" i="1"/>
  <c r="E17" i="1"/>
  <c r="E18" i="1"/>
  <c r="E20" i="1"/>
  <c r="E22" i="1"/>
  <c r="E23" i="1"/>
  <c r="E24" i="1"/>
  <c r="E26" i="1"/>
  <c r="E27" i="1"/>
  <c r="E28" i="1"/>
  <c r="E29" i="1"/>
  <c r="E31" i="1"/>
  <c r="E32" i="1"/>
  <c r="E33" i="1"/>
  <c r="E34" i="1"/>
  <c r="E105" i="1"/>
  <c r="E35" i="1"/>
  <c r="E87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" i="1"/>
  <c r="K16" i="1"/>
  <c r="H139" i="1"/>
  <c r="C25" i="1"/>
  <c r="E25" i="1" s="1"/>
  <c r="D19" i="1"/>
  <c r="E139" i="1" l="1"/>
  <c r="C78" i="1"/>
  <c r="D78" i="1"/>
  <c r="K25" i="1"/>
  <c r="K78" i="1" s="1"/>
  <c r="E19" i="1"/>
  <c r="E78" i="1" s="1"/>
  <c r="K139" i="1"/>
  <c r="T98" i="1"/>
  <c r="T99" i="1"/>
  <c r="N98" i="1"/>
  <c r="T36" i="1"/>
  <c r="T87" i="1"/>
  <c r="Q48" i="1"/>
  <c r="T48" i="1" s="1"/>
  <c r="Q43" i="1"/>
  <c r="T43" i="1" s="1"/>
  <c r="Q42" i="1"/>
  <c r="T42" i="1" s="1"/>
  <c r="Q41" i="1"/>
  <c r="T41" i="1" s="1"/>
  <c r="T37" i="1"/>
  <c r="T38" i="1"/>
  <c r="T39" i="1"/>
  <c r="T40" i="1"/>
  <c r="T44" i="1"/>
  <c r="T45" i="1"/>
  <c r="T46" i="1"/>
  <c r="T47" i="1"/>
  <c r="N39" i="1"/>
  <c r="N40" i="1"/>
  <c r="N41" i="1"/>
  <c r="N42" i="1"/>
  <c r="N43" i="1"/>
  <c r="N44" i="1"/>
  <c r="N45" i="1"/>
  <c r="N46" i="1"/>
  <c r="N47" i="1"/>
  <c r="N48" i="1"/>
  <c r="T35" i="1"/>
  <c r="T105" i="1"/>
  <c r="N34" i="1"/>
  <c r="N105" i="1"/>
  <c r="N35" i="1"/>
  <c r="N37" i="1"/>
  <c r="N38" i="1"/>
  <c r="T34" i="1"/>
  <c r="N21" i="1"/>
  <c r="T33" i="1"/>
  <c r="N33" i="1"/>
  <c r="N32" i="1"/>
  <c r="T32" i="1"/>
  <c r="N27" i="1"/>
  <c r="N28" i="1"/>
  <c r="N29" i="1"/>
  <c r="N31" i="1"/>
  <c r="T27" i="1"/>
  <c r="T28" i="1"/>
  <c r="T29" i="1"/>
  <c r="T31" i="1"/>
  <c r="Q25" i="1"/>
  <c r="T25" i="1" s="1"/>
  <c r="L25" i="1"/>
  <c r="N25" i="1" s="1"/>
  <c r="N26" i="1"/>
  <c r="T26" i="1"/>
  <c r="T24" i="1"/>
  <c r="M24" i="1"/>
  <c r="M78" i="1" s="1"/>
  <c r="M142" i="1" s="1"/>
  <c r="N22" i="1"/>
  <c r="N23" i="1"/>
  <c r="N20" i="1"/>
  <c r="T20" i="1"/>
  <c r="T22" i="1"/>
  <c r="T23" i="1"/>
  <c r="T19" i="1"/>
  <c r="N19" i="1"/>
  <c r="N16" i="1"/>
  <c r="N108" i="1"/>
  <c r="N109" i="1"/>
  <c r="N110" i="1"/>
  <c r="N111" i="1"/>
  <c r="N82" i="1"/>
  <c r="N90" i="1" s="1"/>
  <c r="N17" i="1"/>
  <c r="N18" i="1"/>
  <c r="T18" i="1"/>
  <c r="T108" i="1"/>
  <c r="T109" i="1"/>
  <c r="T110" i="1"/>
  <c r="T111" i="1"/>
  <c r="T82" i="1"/>
  <c r="T17" i="1"/>
  <c r="T16" i="1"/>
  <c r="N4" i="1"/>
  <c r="N5" i="1"/>
  <c r="N6" i="1"/>
  <c r="N7" i="1"/>
  <c r="N8" i="1"/>
  <c r="N9" i="1"/>
  <c r="N10" i="1"/>
  <c r="N11" i="1"/>
  <c r="N12" i="1"/>
  <c r="N14" i="1"/>
  <c r="N15" i="1"/>
  <c r="T15" i="1"/>
  <c r="T14" i="1"/>
  <c r="N24" i="1" l="1"/>
  <c r="N78" i="1" s="1"/>
  <c r="Q78" i="1"/>
  <c r="Q142" i="1" s="1"/>
  <c r="N139" i="1"/>
  <c r="T139" i="1"/>
  <c r="L78" i="1"/>
  <c r="L142" i="1" s="1"/>
  <c r="T21" i="1"/>
  <c r="T78" i="1" s="1"/>
  <c r="D145" i="1" s="1"/>
  <c r="U78" i="1" l="1"/>
  <c r="D151" i="1"/>
  <c r="D150" i="1"/>
  <c r="N142" i="1"/>
  <c r="T142" i="1"/>
  <c r="D144" i="1" l="1"/>
  <c r="U142" i="1"/>
  <c r="D146" i="1"/>
  <c r="D148" i="1" s="1"/>
  <c r="D153" i="1" s="1"/>
</calcChain>
</file>

<file path=xl/sharedStrings.xml><?xml version="1.0" encoding="utf-8"?>
<sst xmlns="http://schemas.openxmlformats.org/spreadsheetml/2006/main" count="172" uniqueCount="157">
  <si>
    <t>Polgármesteri Hivatal</t>
  </si>
  <si>
    <t>2018. évi teljesítés</t>
  </si>
  <si>
    <t>2019. évi terv</t>
  </si>
  <si>
    <t>Személyi</t>
  </si>
  <si>
    <t>Dologi</t>
  </si>
  <si>
    <t>Bevétel</t>
  </si>
  <si>
    <t>Járulék</t>
  </si>
  <si>
    <t>Intézmény neve</t>
  </si>
  <si>
    <t>Beruházás</t>
  </si>
  <si>
    <t>Működési 
bevétel</t>
  </si>
  <si>
    <t>Bevétel összesen</t>
  </si>
  <si>
    <t>Kiadás 
összesen</t>
  </si>
  <si>
    <t>Iparűzési adó</t>
  </si>
  <si>
    <t>Termőföld bérbeadás</t>
  </si>
  <si>
    <t>Gépjárműadó 40 %-a</t>
  </si>
  <si>
    <t>Talajterhelési díj</t>
  </si>
  <si>
    <t>Egyéb közhatalmi bevételek</t>
  </si>
  <si>
    <t>Pótlékok</t>
  </si>
  <si>
    <t>Bírságok</t>
  </si>
  <si>
    <t>Idegenforgalmi adó</t>
  </si>
  <si>
    <t>Közvilágítás</t>
  </si>
  <si>
    <t>Lakóingatlanok és nem 
lakóingatlanok bérbeadása</t>
  </si>
  <si>
    <t>Képviselőtestület kiadásai</t>
  </si>
  <si>
    <t>Bocskai utca 4 cm 
kopóréteggel ellátása</t>
  </si>
  <si>
    <t>Katolikus temető parkoló 20 férőhelyes</t>
  </si>
  <si>
    <t>Evangélikus temető parkoló 20 férőhelyes</t>
  </si>
  <si>
    <r>
      <t>Bánkút Petőfi utca útalap 686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</si>
  <si>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Fogszakorvos VP-s pályázathoz hozzájár</t>
  </si>
  <si>
    <t>Önkormányzati segélyek</t>
  </si>
  <si>
    <t>Önkormányzati 
ellátások</t>
  </si>
  <si>
    <t>Hosszabb távú közfoglalkoztatás</t>
  </si>
  <si>
    <t>START közfoglalkoztatás</t>
  </si>
  <si>
    <t>Állami támogatások megelőlegezése</t>
  </si>
  <si>
    <t>Önkormányzati üzemeltetési feladatok</t>
  </si>
  <si>
    <t>Éven túli hitel törlesztése</t>
  </si>
  <si>
    <t>Háziorvosi feladatok</t>
  </si>
  <si>
    <t>Köztemető fenntartás</t>
  </si>
  <si>
    <t>Településüzemeltetés támogatása</t>
  </si>
  <si>
    <t>Óvodai és iskolai étkezés</t>
  </si>
  <si>
    <t>ASP rendszer támogatási visszafizetés</t>
  </si>
  <si>
    <t>Településarculati kézikönyv</t>
  </si>
  <si>
    <t>Kistérsi társulásnak fizetendő tagdíj, 
ügyeleti díj és belső ellenőrzés</t>
  </si>
  <si>
    <t>Tagdíjak DAREH, Dél-Békés Jövőjéért, 
Kertészek Földje</t>
  </si>
  <si>
    <t>Szünidei gyermekétkezés</t>
  </si>
  <si>
    <t>Szennyvíz és ivóvízhálózat gördülő tervezés</t>
  </si>
  <si>
    <r>
      <t>Szennyvíz szippantás 100 Ft/m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</si>
  <si>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Hulladéklerakó rekultiválása</t>
  </si>
  <si>
    <t>TOP-2.1.2-15-BS1 Zöld város kialakítása</t>
  </si>
  <si>
    <t>TOP-1.4.1-15-BS1 Foglalkoztatás és életminőség javítása családbarát munkába….</t>
  </si>
  <si>
    <t>TOP-3.2.1-16 Önkormányzati épületek
 energetikai korszerűsítése</t>
  </si>
  <si>
    <t>VP6-7.2.1-7.4.1.2-16 Külterületi helyi utak 
fejlesztése</t>
  </si>
  <si>
    <t>VP6-7.2.1-7.4.1.3-17 Helyi termékértékesítést 
szolgáló piacok infrastukt. fejleszt.</t>
  </si>
  <si>
    <t>EFOP-1.5.3-16-2017-00060 Humán 
közszolgáltatások fejlesztése</t>
  </si>
  <si>
    <t>EFOP-3.9.2-16-2017-00025 Humán kapacitások 
fejlesztése</t>
  </si>
  <si>
    <t>TOP-5.3.1-16-BS1-2017-00006 A helyi identitás 
és a kohézió erősítése</t>
  </si>
  <si>
    <t xml:space="preserve">TOP-5.2-1-15-BS1 Társadalmi együttműködés 
erősítését szolgáló helyi szintű </t>
  </si>
  <si>
    <t>TOP-4.3.1-15-BS1 Lászlótelep szegregátum 
felszámolása Medgyesegyházán</t>
  </si>
  <si>
    <t>TOP-4.1.1-15-BS1 Egészségügyi ellátás 
infrastukturális fejlesztése</t>
  </si>
  <si>
    <t>TOP-5.1.2-15-BS1-2016-00008 Foglalkoztatási 
paktum</t>
  </si>
  <si>
    <t>Önkormányzat kötelező feladatai összesen:</t>
  </si>
  <si>
    <t>Adott célra felhasználható tartalék pl: 
viziközmű használati díj, letéti számla, körrnyezetvédelmi alap, idegren bevétel</t>
  </si>
  <si>
    <t>Polgármesteri keret</t>
  </si>
  <si>
    <t>Civil szervezetek támogatása</t>
  </si>
  <si>
    <t>Dinnyefesztivál önkormányzati kiadásai</t>
  </si>
  <si>
    <t>Futás nevezési díja</t>
  </si>
  <si>
    <t>Művelődési Ház részére bevétel átadás</t>
  </si>
  <si>
    <t>Medgyesegyházáról kiadvány</t>
  </si>
  <si>
    <t>Közkifolyók kiadásai</t>
  </si>
  <si>
    <t xml:space="preserve">
Támogatás</t>
  </si>
  <si>
    <t>Óvoda</t>
  </si>
  <si>
    <t>Önkormányzat és intézményei kötelező feladatai</t>
  </si>
  <si>
    <t>Művelődési Ház és Könyvtár</t>
  </si>
  <si>
    <t>Medgyesegyházi Hírlap</t>
  </si>
  <si>
    <t>Művház EFOP-1.2.9-17-2017-00095</t>
  </si>
  <si>
    <t>Schéner Ház működtetése</t>
  </si>
  <si>
    <t>Művház Medgyesi Napok</t>
  </si>
  <si>
    <t>Művház Dinnyefesztivál</t>
  </si>
  <si>
    <t>Művház Egyéb rendezvények</t>
  </si>
  <si>
    <t>Művelődési Ház és Könyvtár elkülönített feladatai</t>
  </si>
  <si>
    <t>Gondozási Központ elkülönített feladatai</t>
  </si>
  <si>
    <t>Labor</t>
  </si>
  <si>
    <t>Védőnői szolgálat</t>
  </si>
  <si>
    <t>Iskolaegészségügy</t>
  </si>
  <si>
    <t>Fogorvos</t>
  </si>
  <si>
    <t>Nappali ellátás</t>
  </si>
  <si>
    <t>Házi segítségnyújtás</t>
  </si>
  <si>
    <t>Szociális étkezés</t>
  </si>
  <si>
    <t>Család és gyermekjóléti szolgálat</t>
  </si>
  <si>
    <t>Szakosított ellátás</t>
  </si>
  <si>
    <t>Általános tartalék</t>
  </si>
  <si>
    <t>Óvoda kerítés felújítása</t>
  </si>
  <si>
    <t>Költségvetési maradvány</t>
  </si>
  <si>
    <t>Ösztöndíjak</t>
  </si>
  <si>
    <t>Képviselőtestület 1 éven túl elhasználódó eszközei</t>
  </si>
  <si>
    <t>Damjanich utca 62. előtt lévő oszlopra világítás</t>
  </si>
  <si>
    <t>Polgármesteri Hivatal asztali számítógép</t>
  </si>
  <si>
    <t>Polgármesteri Hivatal monitor</t>
  </si>
  <si>
    <t>Polgármesteri Hivatal egy éven túl elhasználódó eszközök</t>
  </si>
  <si>
    <t>Házigondozóknak 4 db kerékpár</t>
  </si>
  <si>
    <t>Szociális étkeztetéshez 2 db kerékpár</t>
  </si>
  <si>
    <t>Nappali ellátásba egy éven túl elhasználódó eszközök</t>
  </si>
  <si>
    <t>Óvodai udvari játékok + tanúsítvány</t>
  </si>
  <si>
    <t>Óvoda konyhájába légkondícionáló</t>
  </si>
  <si>
    <t>Óvoda emeletén iratoknak szekrény</t>
  </si>
  <si>
    <t>Óvodába függönyök, sötétítők folyamatos cseréje</t>
  </si>
  <si>
    <t>Óvoda csapatépítő tréning</t>
  </si>
  <si>
    <t>Óvodába tányérok, evőeszközök,pohár, kancsó</t>
  </si>
  <si>
    <t>Óvodába továbbképzések (munkaügyi, vezetői, TSMT)</t>
  </si>
  <si>
    <t>Művelődési Ház VP6-19.2.1-49-6-17 Kislépték turisztikai fejlesztések önerő</t>
  </si>
  <si>
    <t>Rendőrörs padozat felújítása</t>
  </si>
  <si>
    <t>Művelődési Ház éven túl elhasználódó eszközök</t>
  </si>
  <si>
    <t>Bentlakás normatíva igénylésébe beállított dologi kiadás</t>
  </si>
  <si>
    <t>Tartalék a rezsiköltség többletkiadásaira</t>
  </si>
  <si>
    <t>Önkormányzat 2019. évi költségvetés tervezete összesen</t>
  </si>
  <si>
    <t>Ssz.</t>
  </si>
  <si>
    <t>Összes bevétel:</t>
  </si>
  <si>
    <t>Szabad források:</t>
  </si>
  <si>
    <t>Önként vállalt kiadások</t>
  </si>
  <si>
    <t>2019. évi kötelező feladatok kiadásai:</t>
  </si>
  <si>
    <t>2019. évre önként vállalt feladat, 
és az intézmények működési és beruházási többletigényei:</t>
  </si>
  <si>
    <t>Óvoda karbantartáshoz szerszámok (pl: sövényvágó)</t>
  </si>
  <si>
    <t>Óvodai csoportszobai fejlesztő játékok</t>
  </si>
  <si>
    <t>Óvodába papíranyagok</t>
  </si>
  <si>
    <t>2019. évre önként vállalt feladati, képviselő-testület korábbi kötelezettsévállalása alapján</t>
  </si>
  <si>
    <t>2019. évre önként vállalt feladatai, 
képviselő-testület korábbi kötelezettsévállalása alapján</t>
  </si>
  <si>
    <t>Önkormányzat önként vállalt feladatai és intézmények igényei működési és beruházási többletigényei</t>
  </si>
  <si>
    <t>Pályázatok önerejére tartalék</t>
  </si>
  <si>
    <t>VP6-19.2.1-49-4-17 Rendezvényszerzezési eszközök beszerzése</t>
  </si>
  <si>
    <t>VP6-19.2.1-49-1-17 Kertészeti kisgép beszerzése Medgyesegyházán</t>
  </si>
  <si>
    <t>VP6-19.2.1-49-6-17 Eszközbeszerzés a bánkúti Baross László emlékházba</t>
  </si>
  <si>
    <t>VP6-19.2.1-49-1-17 Mezőgazdasági gépbeszerzés Medgyesegyháza Városi Önkormányzat részére</t>
  </si>
  <si>
    <t>VP6-19.2.1-49-4-17 Rendezvényszerzezési eszközök beszerzése 190 db szék</t>
  </si>
  <si>
    <t>Belvízvédelmi terv készítése</t>
  </si>
  <si>
    <t>Szakosított ellátás 1 fő ápoló 2019. március 1-től november 30-ig</t>
  </si>
  <si>
    <t>Sportcsarnok  használat 1 1/2 év</t>
  </si>
  <si>
    <t>Uszoda használat 1 1/2 év</t>
  </si>
  <si>
    <t>Európa polgárai, terstvértelepülés találkozó</t>
  </si>
  <si>
    <t>I VH hadisírok felújítása HIM-HF16</t>
  </si>
  <si>
    <t>KEHOP 121-Helyi klímastratégia</t>
  </si>
  <si>
    <t>Egyenleg</t>
  </si>
  <si>
    <t>Óvoda épületénél 58 fm ereszcsatorna cseréje</t>
  </si>
  <si>
    <t>Város és községgazdálkodás 1 éven túl elhasználódó eszközök pl.: útjelző táblák</t>
  </si>
  <si>
    <t>Kossuth tér 23. Civilek háza nyílászáró csere</t>
  </si>
  <si>
    <t>Konnektorcsere Bánkúti óvodába</t>
  </si>
  <si>
    <t xml:space="preserve">Bentlakásba 30 db párna, 30 db paplan, 30 db pléd </t>
  </si>
  <si>
    <t>Bentlakásba 15 ablakra függöny, sötétítő</t>
  </si>
  <si>
    <t>2019. évre önként vállalt feladatai, képviselő-testület korábbi kötelezettségvállalása alapján összesen:</t>
  </si>
  <si>
    <t>Intézmények
 plusz igényei</t>
  </si>
  <si>
    <t>%-os felosztása 
a plusz igényeknek</t>
  </si>
  <si>
    <t>Intézményekre
 jutó elvonás</t>
  </si>
  <si>
    <t>Önkormányzat</t>
  </si>
  <si>
    <t>Gondozási Központ</t>
  </si>
  <si>
    <t>Közmű biztosítási díjkülönbözet</t>
  </si>
  <si>
    <t>34/2019.(II. 11.) Kt. hat. Orvosi váróterembe 35 db 4 személyes szék</t>
  </si>
  <si>
    <t>34/2019.(II. 11.) Kt. hat. felújított orvosi rendelőkbe szekrény, polcok</t>
  </si>
  <si>
    <t>A 2019. évi költségvetés tárgyalás beterjesztett III. fordulójának  eredménye</t>
  </si>
  <si>
    <t>III. forduló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</si>
</sst>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71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3" fillId="0" borderId="14" xfId="1" applyFont="1" applyFill="1" applyBorder="1" applyAlignment="1">
      <alignment vertical="center" wrapText="1"/>
    </xf>
    <xf numFmtId="0" fontId="13" fillId="0" borderId="14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14" xfId="0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/>
    </xf>
    <xf numFmtId="3" fontId="0" fillId="0" borderId="1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3" fontId="10" fillId="0" borderId="7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 wrapText="1"/>
    </xf>
    <xf numFmtId="3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 wrapText="1"/>
    </xf>
    <xf numFmtId="3" fontId="15" fillId="0" borderId="0" xfId="0" applyNumberFormat="1" applyFont="1" applyFill="1" applyAlignment="1">
      <alignment vertical="center" wrapText="1"/>
    </xf>
    <xf numFmtId="0" fontId="11" fillId="0" borderId="12" xfId="0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vertical="center"/>
    </xf>
    <xf numFmtId="3" fontId="11" fillId="2" borderId="12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1" fillId="2" borderId="1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3" fontId="0" fillId="3" borderId="7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1" fillId="3" borderId="8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11" fillId="3" borderId="14" xfId="0" applyNumberFormat="1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3" fontId="0" fillId="4" borderId="7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8" xfId="0" applyNumberFormat="1" applyFont="1" applyFill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vertical="center"/>
    </xf>
    <xf numFmtId="3" fontId="10" fillId="4" borderId="12" xfId="0" applyNumberFormat="1" applyFont="1" applyFill="1" applyBorder="1" applyAlignment="1">
      <alignment vertical="center"/>
    </xf>
    <xf numFmtId="3" fontId="11" fillId="4" borderId="12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3" fontId="10" fillId="4" borderId="2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vertical="center" wrapText="1"/>
    </xf>
    <xf numFmtId="3" fontId="0" fillId="5" borderId="7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11" fillId="5" borderId="12" xfId="0" applyNumberFormat="1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14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 wrapText="1"/>
    </xf>
    <xf numFmtId="3" fontId="3" fillId="6" borderId="7" xfId="0" applyNumberFormat="1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3" fontId="3" fillId="6" borderId="12" xfId="0" applyNumberFormat="1" applyFont="1" applyFill="1" applyBorder="1" applyAlignment="1">
      <alignment vertical="center"/>
    </xf>
    <xf numFmtId="3" fontId="11" fillId="6" borderId="8" xfId="0" applyNumberFormat="1" applyFont="1" applyFill="1" applyBorder="1" applyAlignment="1">
      <alignment vertical="center"/>
    </xf>
    <xf numFmtId="3" fontId="11" fillId="6" borderId="2" xfId="0" applyNumberFormat="1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3" fontId="0" fillId="6" borderId="7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3" fontId="11" fillId="6" borderId="12" xfId="0" applyNumberFormat="1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/>
    </xf>
    <xf numFmtId="3" fontId="11" fillId="6" borderId="14" xfId="0" applyNumberFormat="1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vertical="center" wrapText="1"/>
    </xf>
    <xf numFmtId="3" fontId="0" fillId="7" borderId="7" xfId="0" applyNumberFormat="1" applyFill="1" applyBorder="1" applyAlignment="1">
      <alignment vertical="center"/>
    </xf>
    <xf numFmtId="3" fontId="0" fillId="7" borderId="1" xfId="0" applyNumberFormat="1" applyFill="1" applyBorder="1" applyAlignment="1">
      <alignment vertical="center"/>
    </xf>
    <xf numFmtId="3" fontId="11" fillId="7" borderId="12" xfId="0" applyNumberFormat="1" applyFont="1" applyFill="1" applyBorder="1" applyAlignment="1">
      <alignment vertical="center"/>
    </xf>
    <xf numFmtId="3" fontId="11" fillId="7" borderId="8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vertical="center"/>
    </xf>
    <xf numFmtId="3" fontId="11" fillId="7" borderId="14" xfId="0" applyNumberFormat="1" applyFont="1" applyFill="1" applyBorder="1" applyAlignment="1">
      <alignment vertical="center"/>
    </xf>
    <xf numFmtId="10" fontId="0" fillId="0" borderId="0" xfId="0" applyNumberFormat="1"/>
    <xf numFmtId="3" fontId="0" fillId="0" borderId="0" xfId="0" applyNumberFormat="1"/>
    <xf numFmtId="0" fontId="19" fillId="0" borderId="0" xfId="0" applyFont="1" applyFill="1" applyAlignment="1">
      <alignment vertical="center" wrapText="1"/>
    </xf>
    <xf numFmtId="3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3" fontId="20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tabSelected="1" view="pageBreakPreview" zoomScaleNormal="100" zoomScaleSheetLayoutView="100" workbookViewId="0">
      <pane xSplit="2" ySplit="3" topLeftCell="C139" activePane="bottomRight" state="frozen"/>
      <selection pane="topRight" activeCell="B1" sqref="B1"/>
      <selection pane="bottomLeft" activeCell="A4" sqref="A4"/>
      <selection pane="bottomRight" activeCell="C2" sqref="C2:K2"/>
    </sheetView>
  </sheetViews>
  <sheetFormatPr defaultRowHeight="15" x14ac:dyDescent="0.25"/>
  <cols>
    <col min="1" max="1" width="7.42578125" style="10" customWidth="1"/>
    <col min="2" max="2" width="36.5703125" style="14" bestFit="1" customWidth="1"/>
    <col min="3" max="3" width="10.85546875" style="14" bestFit="1" customWidth="1"/>
    <col min="4" max="4" width="18.28515625" style="14" bestFit="1" customWidth="1"/>
    <col min="5" max="5" width="14.42578125" style="15" bestFit="1" customWidth="1"/>
    <col min="6" max="6" width="13.5703125" style="14" customWidth="1"/>
    <col min="7" max="7" width="11.140625" style="14" customWidth="1"/>
    <col min="8" max="8" width="10.85546875" style="14" bestFit="1" customWidth="1"/>
    <col min="9" max="9" width="9.85546875" style="14" bestFit="1" customWidth="1"/>
    <col min="10" max="10" width="10" style="14" bestFit="1" customWidth="1"/>
    <col min="11" max="11" width="11.28515625" style="15" bestFit="1" customWidth="1"/>
    <col min="12" max="12" width="11" style="14" bestFit="1" customWidth="1"/>
    <col min="13" max="13" width="11.28515625" style="14" bestFit="1" customWidth="1"/>
    <col min="14" max="14" width="12.28515625" style="15" bestFit="1" customWidth="1"/>
    <col min="15" max="19" width="12.28515625" style="14" bestFit="1" customWidth="1"/>
    <col min="20" max="20" width="13.42578125" style="15" bestFit="1" customWidth="1"/>
    <col min="21" max="21" width="14" style="14" bestFit="1" customWidth="1"/>
    <col min="22" max="16384" width="9.140625" style="14"/>
  </cols>
  <sheetData>
    <row r="1" spans="1:21" ht="15.75" thickBot="1" x14ac:dyDescent="0.3">
      <c r="K1" s="169" t="s">
        <v>156</v>
      </c>
      <c r="L1" s="169"/>
      <c r="M1" s="169"/>
    </row>
    <row r="2" spans="1:21" s="15" customFormat="1" x14ac:dyDescent="0.25">
      <c r="A2" s="16"/>
      <c r="B2" s="17"/>
      <c r="C2" s="163" t="s">
        <v>1</v>
      </c>
      <c r="D2" s="164"/>
      <c r="E2" s="164"/>
      <c r="F2" s="165"/>
      <c r="G2" s="165"/>
      <c r="H2" s="165"/>
      <c r="I2" s="165"/>
      <c r="J2" s="165"/>
      <c r="K2" s="166"/>
      <c r="L2" s="167" t="s">
        <v>2</v>
      </c>
      <c r="M2" s="168"/>
      <c r="N2" s="168"/>
      <c r="O2" s="168"/>
      <c r="P2" s="168"/>
      <c r="Q2" s="168"/>
      <c r="R2" s="168"/>
      <c r="S2" s="168"/>
      <c r="T2" s="168"/>
      <c r="U2" s="82"/>
    </row>
    <row r="3" spans="1:21" s="10" customFormat="1" ht="45" x14ac:dyDescent="0.25">
      <c r="A3" s="5" t="s">
        <v>114</v>
      </c>
      <c r="B3" s="11" t="s">
        <v>7</v>
      </c>
      <c r="C3" s="2" t="s">
        <v>9</v>
      </c>
      <c r="D3" s="3" t="s">
        <v>68</v>
      </c>
      <c r="E3" s="4" t="s">
        <v>10</v>
      </c>
      <c r="F3" s="5" t="s">
        <v>3</v>
      </c>
      <c r="G3" s="5" t="s">
        <v>6</v>
      </c>
      <c r="H3" s="5" t="s">
        <v>4</v>
      </c>
      <c r="I3" s="6" t="s">
        <v>29</v>
      </c>
      <c r="J3" s="5" t="s">
        <v>8</v>
      </c>
      <c r="K3" s="7" t="s">
        <v>11</v>
      </c>
      <c r="L3" s="8" t="s">
        <v>5</v>
      </c>
      <c r="M3" s="9" t="s">
        <v>68</v>
      </c>
      <c r="N3" s="4" t="s">
        <v>10</v>
      </c>
      <c r="O3" s="5" t="s">
        <v>3</v>
      </c>
      <c r="P3" s="5" t="s">
        <v>6</v>
      </c>
      <c r="Q3" s="5" t="s">
        <v>4</v>
      </c>
      <c r="R3" s="6" t="s">
        <v>29</v>
      </c>
      <c r="S3" s="1" t="s">
        <v>8</v>
      </c>
      <c r="T3" s="78" t="s">
        <v>11</v>
      </c>
      <c r="U3" s="5" t="s">
        <v>139</v>
      </c>
    </row>
    <row r="4" spans="1:21" x14ac:dyDescent="0.25">
      <c r="A4" s="5">
        <v>1</v>
      </c>
      <c r="B4" s="17" t="s">
        <v>70</v>
      </c>
      <c r="C4" s="18"/>
      <c r="D4" s="19"/>
      <c r="E4" s="19"/>
      <c r="F4" s="20"/>
      <c r="G4" s="20"/>
      <c r="H4" s="20"/>
      <c r="I4" s="20"/>
      <c r="J4" s="20"/>
      <c r="K4" s="21"/>
      <c r="L4" s="22"/>
      <c r="M4" s="23"/>
      <c r="N4" s="19">
        <f t="shared" ref="N4:N58" si="0">SUM(L4:M4)</f>
        <v>0</v>
      </c>
      <c r="O4" s="20"/>
      <c r="P4" s="20"/>
      <c r="Q4" s="20"/>
      <c r="R4" s="24"/>
      <c r="S4" s="24"/>
      <c r="T4" s="44"/>
      <c r="U4" s="20"/>
    </row>
    <row r="5" spans="1:21" x14ac:dyDescent="0.25">
      <c r="A5" s="5">
        <v>2</v>
      </c>
      <c r="B5" s="25" t="s">
        <v>12</v>
      </c>
      <c r="C5" s="22">
        <v>106110919</v>
      </c>
      <c r="D5" s="23"/>
      <c r="E5" s="19">
        <f>SUM(C5:D5)</f>
        <v>106110919</v>
      </c>
      <c r="F5" s="20"/>
      <c r="G5" s="20"/>
      <c r="H5" s="20"/>
      <c r="I5" s="20"/>
      <c r="J5" s="20"/>
      <c r="K5" s="21"/>
      <c r="L5" s="22">
        <v>100000000</v>
      </c>
      <c r="M5" s="23"/>
      <c r="N5" s="19">
        <f t="shared" si="0"/>
        <v>100000000</v>
      </c>
      <c r="O5" s="20"/>
      <c r="P5" s="20"/>
      <c r="Q5" s="20"/>
      <c r="R5" s="24"/>
      <c r="S5" s="24"/>
      <c r="T5" s="44"/>
      <c r="U5" s="20"/>
    </row>
    <row r="6" spans="1:21" x14ac:dyDescent="0.25">
      <c r="A6" s="5">
        <v>3</v>
      </c>
      <c r="B6" s="25" t="s">
        <v>13</v>
      </c>
      <c r="C6" s="22">
        <v>90048</v>
      </c>
      <c r="D6" s="23"/>
      <c r="E6" s="19">
        <f t="shared" ref="E6:E37" si="1">SUM(C6:D6)</f>
        <v>90048</v>
      </c>
      <c r="F6" s="20"/>
      <c r="G6" s="20"/>
      <c r="H6" s="20"/>
      <c r="I6" s="20"/>
      <c r="J6" s="20"/>
      <c r="K6" s="21"/>
      <c r="L6" s="22">
        <v>50000</v>
      </c>
      <c r="M6" s="23"/>
      <c r="N6" s="19">
        <f t="shared" si="0"/>
        <v>50000</v>
      </c>
      <c r="O6" s="20"/>
      <c r="P6" s="20"/>
      <c r="Q6" s="20"/>
      <c r="R6" s="24"/>
      <c r="S6" s="24"/>
      <c r="T6" s="44"/>
      <c r="U6" s="20"/>
    </row>
    <row r="7" spans="1:21" x14ac:dyDescent="0.25">
      <c r="A7" s="5">
        <v>4</v>
      </c>
      <c r="B7" s="25" t="s">
        <v>14</v>
      </c>
      <c r="C7" s="22">
        <v>11024617</v>
      </c>
      <c r="D7" s="23"/>
      <c r="E7" s="19">
        <f t="shared" si="1"/>
        <v>11024617</v>
      </c>
      <c r="F7" s="20"/>
      <c r="G7" s="20"/>
      <c r="H7" s="20"/>
      <c r="I7" s="20"/>
      <c r="J7" s="20"/>
      <c r="K7" s="21"/>
      <c r="L7" s="22">
        <v>11000000</v>
      </c>
      <c r="M7" s="23"/>
      <c r="N7" s="19">
        <f t="shared" si="0"/>
        <v>11000000</v>
      </c>
      <c r="O7" s="20"/>
      <c r="P7" s="20"/>
      <c r="Q7" s="20"/>
      <c r="R7" s="24"/>
      <c r="S7" s="24"/>
      <c r="T7" s="44"/>
      <c r="U7" s="20"/>
    </row>
    <row r="8" spans="1:21" s="33" customFormat="1" x14ac:dyDescent="0.25">
      <c r="A8" s="5">
        <v>5</v>
      </c>
      <c r="B8" s="26" t="s">
        <v>15</v>
      </c>
      <c r="C8" s="27">
        <v>468784</v>
      </c>
      <c r="D8" s="28"/>
      <c r="E8" s="19">
        <f t="shared" si="1"/>
        <v>468784</v>
      </c>
      <c r="F8" s="29"/>
      <c r="G8" s="29"/>
      <c r="H8" s="29"/>
      <c r="I8" s="29"/>
      <c r="J8" s="29"/>
      <c r="K8" s="21"/>
      <c r="L8" s="30">
        <v>465000</v>
      </c>
      <c r="M8" s="31"/>
      <c r="N8" s="19">
        <f t="shared" si="0"/>
        <v>465000</v>
      </c>
      <c r="O8" s="29"/>
      <c r="P8" s="29"/>
      <c r="Q8" s="29"/>
      <c r="R8" s="32"/>
      <c r="S8" s="32"/>
      <c r="T8" s="44"/>
      <c r="U8" s="29"/>
    </row>
    <row r="9" spans="1:21" x14ac:dyDescent="0.25">
      <c r="A9" s="5">
        <v>6</v>
      </c>
      <c r="B9" s="25" t="s">
        <v>16</v>
      </c>
      <c r="C9" s="22">
        <v>447282</v>
      </c>
      <c r="D9" s="23"/>
      <c r="E9" s="19">
        <f t="shared" si="1"/>
        <v>447282</v>
      </c>
      <c r="F9" s="20"/>
      <c r="G9" s="20"/>
      <c r="H9" s="20"/>
      <c r="I9" s="20"/>
      <c r="J9" s="20"/>
      <c r="K9" s="21"/>
      <c r="L9" s="22">
        <v>445000</v>
      </c>
      <c r="M9" s="23"/>
      <c r="N9" s="19">
        <f t="shared" si="0"/>
        <v>445000</v>
      </c>
      <c r="O9" s="20"/>
      <c r="P9" s="20"/>
      <c r="Q9" s="20"/>
      <c r="R9" s="24"/>
      <c r="S9" s="24"/>
      <c r="T9" s="44"/>
      <c r="U9" s="20"/>
    </row>
    <row r="10" spans="1:21" x14ac:dyDescent="0.25">
      <c r="A10" s="5">
        <v>7</v>
      </c>
      <c r="B10" s="25" t="s">
        <v>17</v>
      </c>
      <c r="C10" s="22">
        <v>213097</v>
      </c>
      <c r="D10" s="23"/>
      <c r="E10" s="19">
        <f t="shared" si="1"/>
        <v>213097</v>
      </c>
      <c r="F10" s="20"/>
      <c r="G10" s="20"/>
      <c r="H10" s="20"/>
      <c r="I10" s="20"/>
      <c r="J10" s="20"/>
      <c r="K10" s="21"/>
      <c r="L10" s="22">
        <v>210000</v>
      </c>
      <c r="M10" s="23"/>
      <c r="N10" s="19">
        <f t="shared" si="0"/>
        <v>210000</v>
      </c>
      <c r="O10" s="20"/>
      <c r="P10" s="20"/>
      <c r="Q10" s="20"/>
      <c r="R10" s="24"/>
      <c r="S10" s="24"/>
      <c r="T10" s="44"/>
      <c r="U10" s="20"/>
    </row>
    <row r="11" spans="1:21" x14ac:dyDescent="0.25">
      <c r="A11" s="5">
        <v>8</v>
      </c>
      <c r="B11" s="25" t="s">
        <v>18</v>
      </c>
      <c r="C11" s="22">
        <v>263595</v>
      </c>
      <c r="D11" s="23"/>
      <c r="E11" s="19">
        <f t="shared" si="1"/>
        <v>263595</v>
      </c>
      <c r="F11" s="20"/>
      <c r="G11" s="20"/>
      <c r="H11" s="20"/>
      <c r="I11" s="20"/>
      <c r="J11" s="20"/>
      <c r="K11" s="21"/>
      <c r="L11" s="22">
        <v>260000</v>
      </c>
      <c r="M11" s="23"/>
      <c r="N11" s="19">
        <f t="shared" si="0"/>
        <v>260000</v>
      </c>
      <c r="O11" s="20"/>
      <c r="P11" s="20"/>
      <c r="Q11" s="20"/>
      <c r="R11" s="24"/>
      <c r="S11" s="24"/>
      <c r="T11" s="44"/>
      <c r="U11" s="20"/>
    </row>
    <row r="12" spans="1:21" x14ac:dyDescent="0.25">
      <c r="A12" s="5">
        <v>9</v>
      </c>
      <c r="B12" s="25" t="s">
        <v>19</v>
      </c>
      <c r="C12" s="22">
        <v>1400</v>
      </c>
      <c r="D12" s="23"/>
      <c r="E12" s="19">
        <f t="shared" si="1"/>
        <v>1400</v>
      </c>
      <c r="F12" s="20"/>
      <c r="G12" s="20"/>
      <c r="H12" s="20"/>
      <c r="I12" s="20"/>
      <c r="J12" s="20"/>
      <c r="K12" s="21"/>
      <c r="L12" s="22">
        <v>2000</v>
      </c>
      <c r="M12" s="23">
        <v>5200</v>
      </c>
      <c r="N12" s="19">
        <f t="shared" si="0"/>
        <v>7200</v>
      </c>
      <c r="O12" s="20"/>
      <c r="P12" s="20"/>
      <c r="Q12" s="20"/>
      <c r="R12" s="24"/>
      <c r="S12" s="24"/>
      <c r="T12" s="44"/>
      <c r="U12" s="20"/>
    </row>
    <row r="13" spans="1:21" x14ac:dyDescent="0.25">
      <c r="A13" s="5">
        <v>10</v>
      </c>
      <c r="B13" s="25" t="s">
        <v>91</v>
      </c>
      <c r="C13" s="22"/>
      <c r="D13" s="23"/>
      <c r="E13" s="19"/>
      <c r="F13" s="20"/>
      <c r="G13" s="20"/>
      <c r="H13" s="20"/>
      <c r="I13" s="20"/>
      <c r="J13" s="20"/>
      <c r="K13" s="21"/>
      <c r="L13" s="22">
        <f>62806727-11111138-L87</f>
        <v>48177649</v>
      </c>
      <c r="M13" s="23"/>
      <c r="N13" s="19">
        <f t="shared" si="0"/>
        <v>48177649</v>
      </c>
      <c r="O13" s="20"/>
      <c r="P13" s="20"/>
      <c r="Q13" s="20"/>
      <c r="R13" s="24"/>
      <c r="S13" s="24"/>
      <c r="T13" s="44"/>
      <c r="U13" s="20"/>
    </row>
    <row r="14" spans="1:21" x14ac:dyDescent="0.25">
      <c r="A14" s="5">
        <v>11</v>
      </c>
      <c r="B14" s="25" t="s">
        <v>20</v>
      </c>
      <c r="C14" s="22"/>
      <c r="D14" s="23">
        <v>13728000</v>
      </c>
      <c r="E14" s="19">
        <f t="shared" si="1"/>
        <v>13728000</v>
      </c>
      <c r="F14" s="20"/>
      <c r="G14" s="20"/>
      <c r="H14" s="20">
        <v>9103889</v>
      </c>
      <c r="I14" s="20"/>
      <c r="J14" s="20">
        <v>190119</v>
      </c>
      <c r="K14" s="21">
        <f>SUM(H14:J14)</f>
        <v>9294008</v>
      </c>
      <c r="L14" s="22"/>
      <c r="M14" s="23">
        <v>13728000</v>
      </c>
      <c r="N14" s="19">
        <f t="shared" si="0"/>
        <v>13728000</v>
      </c>
      <c r="O14" s="20"/>
      <c r="P14" s="20"/>
      <c r="Q14" s="20">
        <v>9150000</v>
      </c>
      <c r="R14" s="24"/>
      <c r="S14" s="24"/>
      <c r="T14" s="44">
        <f>SUM(Q14:S14)</f>
        <v>9150000</v>
      </c>
      <c r="U14" s="20"/>
    </row>
    <row r="15" spans="1:21" ht="30" x14ac:dyDescent="0.25">
      <c r="A15" s="5">
        <v>12</v>
      </c>
      <c r="B15" s="34" t="s">
        <v>21</v>
      </c>
      <c r="C15" s="22"/>
      <c r="D15" s="23"/>
      <c r="E15" s="19">
        <f t="shared" si="1"/>
        <v>0</v>
      </c>
      <c r="F15" s="20"/>
      <c r="G15" s="20"/>
      <c r="H15" s="20">
        <v>643316</v>
      </c>
      <c r="I15" s="20"/>
      <c r="J15" s="20">
        <v>2046733</v>
      </c>
      <c r="K15" s="21">
        <f>SUM(H15:J15)</f>
        <v>2690049</v>
      </c>
      <c r="L15" s="22"/>
      <c r="M15" s="23"/>
      <c r="N15" s="19">
        <f t="shared" si="0"/>
        <v>0</v>
      </c>
      <c r="O15" s="20"/>
      <c r="P15" s="20"/>
      <c r="Q15" s="20">
        <v>644000</v>
      </c>
      <c r="R15" s="24"/>
      <c r="S15" s="24"/>
      <c r="T15" s="44">
        <f>SUM(Q15:S15)</f>
        <v>644000</v>
      </c>
      <c r="U15" s="20"/>
    </row>
    <row r="16" spans="1:21" x14ac:dyDescent="0.25">
      <c r="A16" s="5">
        <v>13</v>
      </c>
      <c r="B16" s="25" t="s">
        <v>22</v>
      </c>
      <c r="C16" s="22"/>
      <c r="D16" s="23">
        <v>1041000</v>
      </c>
      <c r="E16" s="19">
        <f t="shared" si="1"/>
        <v>1041000</v>
      </c>
      <c r="F16" s="20">
        <v>14321688</v>
      </c>
      <c r="G16" s="20">
        <v>2731805</v>
      </c>
      <c r="H16" s="20">
        <v>1130830</v>
      </c>
      <c r="I16" s="20"/>
      <c r="J16" s="20"/>
      <c r="K16" s="21">
        <f>SUM(F16:J16)</f>
        <v>18184323</v>
      </c>
      <c r="L16" s="22"/>
      <c r="M16" s="23">
        <v>972400</v>
      </c>
      <c r="N16" s="19">
        <f t="shared" si="0"/>
        <v>972400</v>
      </c>
      <c r="O16" s="20">
        <v>15859500</v>
      </c>
      <c r="P16" s="20">
        <v>3115000</v>
      </c>
      <c r="Q16" s="20">
        <v>1131000</v>
      </c>
      <c r="R16" s="24"/>
      <c r="S16" s="24"/>
      <c r="T16" s="44">
        <f>SUM(O16:S16)</f>
        <v>20105500</v>
      </c>
      <c r="U16" s="20"/>
    </row>
    <row r="17" spans="1:21" x14ac:dyDescent="0.25">
      <c r="A17" s="5">
        <v>14</v>
      </c>
      <c r="B17" s="25" t="s">
        <v>28</v>
      </c>
      <c r="C17" s="22"/>
      <c r="D17" s="23">
        <v>33238000</v>
      </c>
      <c r="E17" s="19">
        <f t="shared" si="1"/>
        <v>33238000</v>
      </c>
      <c r="F17" s="20"/>
      <c r="G17" s="20"/>
      <c r="H17" s="20"/>
      <c r="I17" s="20">
        <f>12003695-55000</f>
        <v>11948695</v>
      </c>
      <c r="J17" s="20"/>
      <c r="K17" s="21">
        <f t="shared" ref="K17:K48" si="2">SUM(F17:J17)</f>
        <v>11948695</v>
      </c>
      <c r="L17" s="22"/>
      <c r="M17" s="23">
        <v>22332135</v>
      </c>
      <c r="N17" s="19">
        <f t="shared" si="0"/>
        <v>22332135</v>
      </c>
      <c r="O17" s="20"/>
      <c r="P17" s="20"/>
      <c r="Q17" s="20">
        <v>3240011</v>
      </c>
      <c r="R17" s="24">
        <v>5300000</v>
      </c>
      <c r="S17" s="24"/>
      <c r="T17" s="44">
        <f t="shared" ref="T17:T58" si="3">SUM(O17:S17)</f>
        <v>8540011</v>
      </c>
      <c r="U17" s="20"/>
    </row>
    <row r="18" spans="1:21" x14ac:dyDescent="0.25">
      <c r="A18" s="5">
        <v>15</v>
      </c>
      <c r="B18" s="25" t="s">
        <v>30</v>
      </c>
      <c r="C18" s="22"/>
      <c r="D18" s="23">
        <v>15643912</v>
      </c>
      <c r="E18" s="19">
        <f t="shared" si="1"/>
        <v>15643912</v>
      </c>
      <c r="F18" s="20">
        <v>16238675</v>
      </c>
      <c r="G18" s="20">
        <v>1617120</v>
      </c>
      <c r="H18" s="20"/>
      <c r="I18" s="20"/>
      <c r="J18" s="20"/>
      <c r="K18" s="21">
        <f t="shared" si="2"/>
        <v>17855795</v>
      </c>
      <c r="L18" s="22">
        <v>3923000</v>
      </c>
      <c r="M18" s="23">
        <v>4108870</v>
      </c>
      <c r="N18" s="19">
        <f t="shared" si="0"/>
        <v>8031870</v>
      </c>
      <c r="O18" s="20">
        <v>7318336</v>
      </c>
      <c r="P18" s="20">
        <v>713534</v>
      </c>
      <c r="Q18" s="20"/>
      <c r="R18" s="24"/>
      <c r="S18" s="24"/>
      <c r="T18" s="44">
        <f t="shared" si="3"/>
        <v>8031870</v>
      </c>
      <c r="U18" s="20"/>
    </row>
    <row r="19" spans="1:21" x14ac:dyDescent="0.25">
      <c r="A19" s="5">
        <v>16</v>
      </c>
      <c r="B19" s="25" t="s">
        <v>31</v>
      </c>
      <c r="C19" s="22"/>
      <c r="D19" s="23">
        <f>76362117+5115263</f>
        <v>81477380</v>
      </c>
      <c r="E19" s="19">
        <f t="shared" si="1"/>
        <v>81477380</v>
      </c>
      <c r="F19" s="20">
        <v>65285066</v>
      </c>
      <c r="G19" s="20">
        <v>6973044</v>
      </c>
      <c r="H19" s="20">
        <v>13435369</v>
      </c>
      <c r="I19" s="20"/>
      <c r="J19" s="20">
        <v>1366880</v>
      </c>
      <c r="K19" s="21">
        <f t="shared" si="2"/>
        <v>87060359</v>
      </c>
      <c r="L19" s="22">
        <f>3050000+13748473</f>
        <v>16798473</v>
      </c>
      <c r="M19" s="23">
        <f>71406588+2000000</f>
        <v>73406588</v>
      </c>
      <c r="N19" s="19">
        <f t="shared" si="0"/>
        <v>90205061</v>
      </c>
      <c r="O19" s="20">
        <v>62378350</v>
      </c>
      <c r="P19" s="20">
        <v>6590194</v>
      </c>
      <c r="Q19" s="20">
        <v>20937272</v>
      </c>
      <c r="R19" s="24"/>
      <c r="S19" s="24">
        <v>2000000</v>
      </c>
      <c r="T19" s="44">
        <f t="shared" si="3"/>
        <v>91905816</v>
      </c>
      <c r="U19" s="20"/>
    </row>
    <row r="20" spans="1:21" x14ac:dyDescent="0.25">
      <c r="A20" s="5">
        <v>17</v>
      </c>
      <c r="B20" s="25" t="s">
        <v>32</v>
      </c>
      <c r="C20" s="22"/>
      <c r="D20" s="23"/>
      <c r="E20" s="19">
        <f t="shared" si="1"/>
        <v>0</v>
      </c>
      <c r="F20" s="20"/>
      <c r="G20" s="20"/>
      <c r="H20" s="20">
        <v>13642901</v>
      </c>
      <c r="I20" s="20"/>
      <c r="J20" s="20"/>
      <c r="K20" s="21">
        <f t="shared" si="2"/>
        <v>13642901</v>
      </c>
      <c r="L20" s="22"/>
      <c r="M20" s="23"/>
      <c r="N20" s="19">
        <f t="shared" si="0"/>
        <v>0</v>
      </c>
      <c r="O20" s="20"/>
      <c r="P20" s="20"/>
      <c r="Q20" s="20">
        <v>10031323</v>
      </c>
      <c r="R20" s="24"/>
      <c r="S20" s="24"/>
      <c r="T20" s="44">
        <f t="shared" si="3"/>
        <v>10031323</v>
      </c>
      <c r="U20" s="20"/>
    </row>
    <row r="21" spans="1:21" x14ac:dyDescent="0.25">
      <c r="A21" s="5">
        <v>18</v>
      </c>
      <c r="B21" s="25" t="s">
        <v>33</v>
      </c>
      <c r="C21" s="22">
        <f>23182678-635000-956119</f>
        <v>21591559</v>
      </c>
      <c r="D21" s="23">
        <v>1825751</v>
      </c>
      <c r="E21" s="19">
        <f t="shared" si="1"/>
        <v>23417310</v>
      </c>
      <c r="F21" s="20">
        <v>3729923</v>
      </c>
      <c r="G21" s="20">
        <v>819411</v>
      </c>
      <c r="H21" s="20">
        <v>15392064</v>
      </c>
      <c r="I21" s="20"/>
      <c r="J21" s="20">
        <v>208706</v>
      </c>
      <c r="K21" s="21">
        <f t="shared" si="2"/>
        <v>20150104</v>
      </c>
      <c r="L21" s="22">
        <f>18400000-635000-956000</f>
        <v>16809000</v>
      </c>
      <c r="M21" s="23">
        <v>412300</v>
      </c>
      <c r="N21" s="19">
        <f t="shared" si="0"/>
        <v>17221300</v>
      </c>
      <c r="O21" s="20">
        <f>2385000+120000+27500</f>
        <v>2532500</v>
      </c>
      <c r="P21" s="20">
        <f>425300+21000+5400</f>
        <v>451700</v>
      </c>
      <c r="Q21" s="20">
        <v>15400000</v>
      </c>
      <c r="R21" s="24"/>
      <c r="S21" s="24"/>
      <c r="T21" s="44">
        <f t="shared" si="3"/>
        <v>18384200</v>
      </c>
      <c r="U21" s="20"/>
    </row>
    <row r="22" spans="1:21" x14ac:dyDescent="0.25">
      <c r="A22" s="5">
        <v>19</v>
      </c>
      <c r="B22" s="25" t="s">
        <v>34</v>
      </c>
      <c r="C22" s="22"/>
      <c r="D22" s="23"/>
      <c r="E22" s="19">
        <f t="shared" si="1"/>
        <v>0</v>
      </c>
      <c r="F22" s="20"/>
      <c r="G22" s="20"/>
      <c r="H22" s="20"/>
      <c r="I22" s="20"/>
      <c r="J22" s="20"/>
      <c r="K22" s="21">
        <f t="shared" si="2"/>
        <v>0</v>
      </c>
      <c r="L22" s="22"/>
      <c r="M22" s="23"/>
      <c r="N22" s="19">
        <f t="shared" si="0"/>
        <v>0</v>
      </c>
      <c r="O22" s="20"/>
      <c r="P22" s="20"/>
      <c r="Q22" s="20">
        <f>6350000+121000</f>
        <v>6471000</v>
      </c>
      <c r="R22" s="24"/>
      <c r="S22" s="24"/>
      <c r="T22" s="44">
        <f t="shared" si="3"/>
        <v>6471000</v>
      </c>
      <c r="U22" s="20"/>
    </row>
    <row r="23" spans="1:21" x14ac:dyDescent="0.25">
      <c r="A23" s="5">
        <v>20</v>
      </c>
      <c r="B23" s="25" t="s">
        <v>36</v>
      </c>
      <c r="C23" s="22"/>
      <c r="D23" s="23">
        <v>0</v>
      </c>
      <c r="E23" s="19">
        <f t="shared" si="1"/>
        <v>0</v>
      </c>
      <c r="F23" s="20"/>
      <c r="G23" s="20"/>
      <c r="H23" s="20">
        <v>50987</v>
      </c>
      <c r="I23" s="20"/>
      <c r="J23" s="20"/>
      <c r="K23" s="21">
        <f t="shared" si="2"/>
        <v>50987</v>
      </c>
      <c r="L23" s="22"/>
      <c r="M23" s="23">
        <v>1076424</v>
      </c>
      <c r="N23" s="19">
        <f t="shared" si="0"/>
        <v>1076424</v>
      </c>
      <c r="O23" s="20"/>
      <c r="P23" s="20"/>
      <c r="Q23" s="20">
        <v>100000</v>
      </c>
      <c r="R23" s="24"/>
      <c r="S23" s="24"/>
      <c r="T23" s="44">
        <f t="shared" si="3"/>
        <v>100000</v>
      </c>
      <c r="U23" s="20"/>
    </row>
    <row r="24" spans="1:21" x14ac:dyDescent="0.25">
      <c r="A24" s="5">
        <v>21</v>
      </c>
      <c r="B24" s="25" t="s">
        <v>37</v>
      </c>
      <c r="C24" s="22"/>
      <c r="D24" s="23">
        <f>7579770+6117650</f>
        <v>13697420</v>
      </c>
      <c r="E24" s="19">
        <f t="shared" si="1"/>
        <v>13697420</v>
      </c>
      <c r="F24" s="20"/>
      <c r="G24" s="20"/>
      <c r="H24" s="20">
        <v>21002545</v>
      </c>
      <c r="I24" s="20"/>
      <c r="J24" s="20"/>
      <c r="K24" s="21">
        <f t="shared" si="2"/>
        <v>21002545</v>
      </c>
      <c r="L24" s="22"/>
      <c r="M24" s="23">
        <f>6754116+6117650</f>
        <v>12871766</v>
      </c>
      <c r="N24" s="19">
        <f t="shared" si="0"/>
        <v>12871766</v>
      </c>
      <c r="O24" s="20"/>
      <c r="P24" s="20"/>
      <c r="Q24" s="20">
        <f>14768500+36000+1831505-500000</f>
        <v>16136005</v>
      </c>
      <c r="R24" s="24"/>
      <c r="S24" s="24"/>
      <c r="T24" s="44">
        <f t="shared" si="3"/>
        <v>16136005</v>
      </c>
      <c r="U24" s="20"/>
    </row>
    <row r="25" spans="1:21" x14ac:dyDescent="0.25">
      <c r="A25" s="5">
        <v>22</v>
      </c>
      <c r="B25" s="25" t="s">
        <v>38</v>
      </c>
      <c r="C25" s="22">
        <f>512017+4786843</f>
        <v>5298860</v>
      </c>
      <c r="D25" s="23">
        <v>33206591</v>
      </c>
      <c r="E25" s="19">
        <f t="shared" si="1"/>
        <v>38505451</v>
      </c>
      <c r="F25" s="20"/>
      <c r="G25" s="20"/>
      <c r="H25" s="20">
        <f>11355206+28755857</f>
        <v>40111063</v>
      </c>
      <c r="I25" s="20"/>
      <c r="J25" s="20"/>
      <c r="K25" s="21">
        <f t="shared" si="2"/>
        <v>40111063</v>
      </c>
      <c r="L25" s="22">
        <f>917000+5950000</f>
        <v>6867000</v>
      </c>
      <c r="M25" s="23">
        <v>35780825</v>
      </c>
      <c r="N25" s="19">
        <f t="shared" si="0"/>
        <v>42647825</v>
      </c>
      <c r="O25" s="20"/>
      <c r="P25" s="20"/>
      <c r="Q25" s="20">
        <f>13488300+31071200</f>
        <v>44559500</v>
      </c>
      <c r="R25" s="24"/>
      <c r="S25" s="24"/>
      <c r="T25" s="44">
        <f t="shared" si="3"/>
        <v>44559500</v>
      </c>
      <c r="U25" s="20"/>
    </row>
    <row r="26" spans="1:21" x14ac:dyDescent="0.25">
      <c r="A26" s="5">
        <v>23</v>
      </c>
      <c r="B26" s="25" t="s">
        <v>39</v>
      </c>
      <c r="C26" s="22"/>
      <c r="D26" s="23"/>
      <c r="E26" s="19">
        <f t="shared" si="1"/>
        <v>0</v>
      </c>
      <c r="F26" s="20"/>
      <c r="G26" s="20"/>
      <c r="H26" s="20"/>
      <c r="I26" s="20"/>
      <c r="J26" s="20"/>
      <c r="K26" s="21">
        <f t="shared" si="2"/>
        <v>0</v>
      </c>
      <c r="L26" s="22"/>
      <c r="M26" s="23"/>
      <c r="N26" s="19">
        <f t="shared" si="0"/>
        <v>0</v>
      </c>
      <c r="O26" s="20"/>
      <c r="P26" s="20"/>
      <c r="Q26" s="20">
        <v>20000</v>
      </c>
      <c r="R26" s="24"/>
      <c r="S26" s="24"/>
      <c r="T26" s="44">
        <f t="shared" si="3"/>
        <v>20000</v>
      </c>
      <c r="U26" s="20"/>
    </row>
    <row r="27" spans="1:21" x14ac:dyDescent="0.25">
      <c r="A27" s="5">
        <v>24</v>
      </c>
      <c r="B27" s="25" t="s">
        <v>40</v>
      </c>
      <c r="C27" s="22"/>
      <c r="D27" s="23"/>
      <c r="E27" s="19">
        <f t="shared" si="1"/>
        <v>0</v>
      </c>
      <c r="F27" s="20"/>
      <c r="G27" s="20"/>
      <c r="H27" s="20"/>
      <c r="I27" s="20"/>
      <c r="J27" s="20">
        <v>1862000</v>
      </c>
      <c r="K27" s="21">
        <f t="shared" si="2"/>
        <v>1862000</v>
      </c>
      <c r="L27" s="22"/>
      <c r="M27" s="23"/>
      <c r="N27" s="19">
        <f t="shared" si="0"/>
        <v>0</v>
      </c>
      <c r="O27" s="20"/>
      <c r="P27" s="20"/>
      <c r="Q27" s="20"/>
      <c r="R27" s="24"/>
      <c r="S27" s="24">
        <v>337500</v>
      </c>
      <c r="T27" s="44">
        <f t="shared" si="3"/>
        <v>337500</v>
      </c>
      <c r="U27" s="20"/>
    </row>
    <row r="28" spans="1:21" ht="30" x14ac:dyDescent="0.25">
      <c r="A28" s="5">
        <v>25</v>
      </c>
      <c r="B28" s="34" t="s">
        <v>41</v>
      </c>
      <c r="C28" s="22"/>
      <c r="D28" s="23"/>
      <c r="E28" s="19">
        <f t="shared" si="1"/>
        <v>0</v>
      </c>
      <c r="F28" s="20"/>
      <c r="G28" s="20"/>
      <c r="H28" s="20">
        <v>4029963</v>
      </c>
      <c r="I28" s="20"/>
      <c r="J28" s="20"/>
      <c r="K28" s="21">
        <f t="shared" si="2"/>
        <v>4029963</v>
      </c>
      <c r="L28" s="22"/>
      <c r="M28" s="23"/>
      <c r="N28" s="19">
        <f t="shared" si="0"/>
        <v>0</v>
      </c>
      <c r="O28" s="20"/>
      <c r="P28" s="20"/>
      <c r="Q28" s="20">
        <v>4031000</v>
      </c>
      <c r="R28" s="24"/>
      <c r="S28" s="24"/>
      <c r="T28" s="44">
        <f t="shared" si="3"/>
        <v>4031000</v>
      </c>
      <c r="U28" s="20"/>
    </row>
    <row r="29" spans="1:21" ht="30" x14ac:dyDescent="0.25">
      <c r="A29" s="5">
        <v>26</v>
      </c>
      <c r="B29" s="34" t="s">
        <v>42</v>
      </c>
      <c r="C29" s="22"/>
      <c r="D29" s="23"/>
      <c r="E29" s="19">
        <f t="shared" si="1"/>
        <v>0</v>
      </c>
      <c r="F29" s="20"/>
      <c r="G29" s="20"/>
      <c r="H29" s="20">
        <v>691525</v>
      </c>
      <c r="I29" s="20"/>
      <c r="J29" s="20"/>
      <c r="K29" s="21">
        <f t="shared" si="2"/>
        <v>691525</v>
      </c>
      <c r="L29" s="22"/>
      <c r="M29" s="23"/>
      <c r="N29" s="19">
        <f t="shared" si="0"/>
        <v>0</v>
      </c>
      <c r="O29" s="20"/>
      <c r="P29" s="20"/>
      <c r="Q29" s="20">
        <v>692000</v>
      </c>
      <c r="R29" s="24"/>
      <c r="S29" s="24"/>
      <c r="T29" s="44">
        <f t="shared" si="3"/>
        <v>692000</v>
      </c>
      <c r="U29" s="20"/>
    </row>
    <row r="30" spans="1:21" x14ac:dyDescent="0.25">
      <c r="A30" s="73"/>
      <c r="B30" s="86" t="s">
        <v>152</v>
      </c>
      <c r="C30" s="74"/>
      <c r="D30" s="93"/>
      <c r="E30" s="75"/>
      <c r="F30" s="72"/>
      <c r="G30" s="72"/>
      <c r="H30" s="72"/>
      <c r="I30" s="72"/>
      <c r="J30" s="72"/>
      <c r="K30" s="76"/>
      <c r="L30" s="74"/>
      <c r="M30" s="93"/>
      <c r="N30" s="75"/>
      <c r="O30" s="72"/>
      <c r="P30" s="72"/>
      <c r="Q30" s="72">
        <v>360000</v>
      </c>
      <c r="R30" s="94"/>
      <c r="S30" s="94"/>
      <c r="T30" s="89">
        <f t="shared" si="3"/>
        <v>360000</v>
      </c>
      <c r="U30" s="20"/>
    </row>
    <row r="31" spans="1:21" x14ac:dyDescent="0.25">
      <c r="A31" s="5">
        <v>27</v>
      </c>
      <c r="B31" s="25" t="s">
        <v>67</v>
      </c>
      <c r="C31" s="22"/>
      <c r="D31" s="20"/>
      <c r="E31" s="19">
        <f t="shared" si="1"/>
        <v>0</v>
      </c>
      <c r="F31" s="20"/>
      <c r="G31" s="20"/>
      <c r="H31" s="20">
        <v>407325</v>
      </c>
      <c r="I31" s="20"/>
      <c r="J31" s="20"/>
      <c r="K31" s="21">
        <f t="shared" si="2"/>
        <v>407325</v>
      </c>
      <c r="L31" s="22"/>
      <c r="M31" s="20"/>
      <c r="N31" s="35">
        <f t="shared" si="0"/>
        <v>0</v>
      </c>
      <c r="O31" s="20"/>
      <c r="P31" s="20"/>
      <c r="Q31" s="20">
        <v>410000</v>
      </c>
      <c r="R31" s="20"/>
      <c r="S31" s="20"/>
      <c r="T31" s="44">
        <f t="shared" si="3"/>
        <v>410000</v>
      </c>
      <c r="U31" s="20"/>
    </row>
    <row r="32" spans="1:21" x14ac:dyDescent="0.25">
      <c r="A32" s="5">
        <v>28</v>
      </c>
      <c r="B32" s="25" t="s">
        <v>43</v>
      </c>
      <c r="C32" s="36"/>
      <c r="D32" s="37">
        <v>357960</v>
      </c>
      <c r="E32" s="19">
        <f t="shared" si="1"/>
        <v>357960</v>
      </c>
      <c r="F32" s="37"/>
      <c r="G32" s="37"/>
      <c r="H32" s="37">
        <v>406400</v>
      </c>
      <c r="I32" s="37"/>
      <c r="J32" s="37"/>
      <c r="K32" s="21">
        <f t="shared" si="2"/>
        <v>406400</v>
      </c>
      <c r="L32" s="36"/>
      <c r="M32" s="37">
        <v>357960</v>
      </c>
      <c r="N32" s="35">
        <f t="shared" si="0"/>
        <v>357960</v>
      </c>
      <c r="O32" s="37"/>
      <c r="P32" s="37"/>
      <c r="Q32" s="37">
        <v>358000</v>
      </c>
      <c r="R32" s="37"/>
      <c r="S32" s="37"/>
      <c r="T32" s="79">
        <f t="shared" si="3"/>
        <v>358000</v>
      </c>
      <c r="U32" s="20"/>
    </row>
    <row r="33" spans="1:21" x14ac:dyDescent="0.25">
      <c r="A33" s="5">
        <v>29</v>
      </c>
      <c r="B33" s="25" t="s">
        <v>44</v>
      </c>
      <c r="C33" s="22">
        <v>635000</v>
      </c>
      <c r="D33" s="20"/>
      <c r="E33" s="19">
        <f t="shared" si="1"/>
        <v>635000</v>
      </c>
      <c r="F33" s="20"/>
      <c r="G33" s="20"/>
      <c r="H33" s="20">
        <v>71183</v>
      </c>
      <c r="I33" s="20"/>
      <c r="J33" s="20"/>
      <c r="K33" s="21">
        <f t="shared" si="2"/>
        <v>71183</v>
      </c>
      <c r="L33" s="22">
        <v>635000</v>
      </c>
      <c r="M33" s="20"/>
      <c r="N33" s="35">
        <f t="shared" si="0"/>
        <v>635000</v>
      </c>
      <c r="O33" s="20"/>
      <c r="P33" s="20"/>
      <c r="Q33" s="20">
        <v>635000</v>
      </c>
      <c r="R33" s="20"/>
      <c r="S33" s="20"/>
      <c r="T33" s="80">
        <f t="shared" si="3"/>
        <v>635000</v>
      </c>
      <c r="U33" s="38"/>
    </row>
    <row r="34" spans="1:21" ht="17.25" x14ac:dyDescent="0.25">
      <c r="A34" s="5">
        <v>30</v>
      </c>
      <c r="B34" s="25" t="s">
        <v>45</v>
      </c>
      <c r="C34" s="22"/>
      <c r="D34" s="20">
        <v>12100</v>
      </c>
      <c r="E34" s="19">
        <f t="shared" si="1"/>
        <v>12100</v>
      </c>
      <c r="F34" s="20"/>
      <c r="G34" s="20"/>
      <c r="H34" s="20">
        <v>12100</v>
      </c>
      <c r="I34" s="20"/>
      <c r="J34" s="20"/>
      <c r="K34" s="21">
        <f t="shared" si="2"/>
        <v>12100</v>
      </c>
      <c r="L34" s="22"/>
      <c r="M34" s="20">
        <v>8100</v>
      </c>
      <c r="N34" s="35">
        <f t="shared" si="0"/>
        <v>8100</v>
      </c>
      <c r="O34" s="20"/>
      <c r="P34" s="20"/>
      <c r="Q34" s="20">
        <v>8100</v>
      </c>
      <c r="R34" s="20"/>
      <c r="S34" s="20"/>
      <c r="T34" s="80">
        <f t="shared" si="3"/>
        <v>8100</v>
      </c>
      <c r="U34" s="38"/>
    </row>
    <row r="35" spans="1:21" x14ac:dyDescent="0.25">
      <c r="A35" s="5">
        <v>31</v>
      </c>
      <c r="B35" s="25" t="s">
        <v>46</v>
      </c>
      <c r="C35" s="22"/>
      <c r="D35" s="20"/>
      <c r="E35" s="19">
        <f t="shared" si="1"/>
        <v>0</v>
      </c>
      <c r="F35" s="20"/>
      <c r="G35" s="20"/>
      <c r="H35" s="20">
        <v>164500</v>
      </c>
      <c r="I35" s="20"/>
      <c r="J35" s="20"/>
      <c r="K35" s="21">
        <f t="shared" si="2"/>
        <v>164500</v>
      </c>
      <c r="L35" s="22"/>
      <c r="M35" s="20"/>
      <c r="N35" s="35">
        <f t="shared" si="0"/>
        <v>0</v>
      </c>
      <c r="O35" s="20"/>
      <c r="P35" s="20"/>
      <c r="Q35" s="20">
        <v>165000</v>
      </c>
      <c r="R35" s="20"/>
      <c r="S35" s="20"/>
      <c r="T35" s="80">
        <f t="shared" si="3"/>
        <v>165000</v>
      </c>
      <c r="U35" s="38"/>
    </row>
    <row r="36" spans="1:21" ht="60" x14ac:dyDescent="0.25">
      <c r="A36" s="5">
        <v>32</v>
      </c>
      <c r="B36" s="34" t="s">
        <v>60</v>
      </c>
      <c r="C36" s="22"/>
      <c r="D36" s="20"/>
      <c r="E36" s="19">
        <f t="shared" si="1"/>
        <v>0</v>
      </c>
      <c r="F36" s="20"/>
      <c r="G36" s="20"/>
      <c r="H36" s="20"/>
      <c r="I36" s="20"/>
      <c r="J36" s="20"/>
      <c r="K36" s="21">
        <f>SUM(F36:J36)</f>
        <v>0</v>
      </c>
      <c r="L36" s="22">
        <f>13405082-600000</f>
        <v>12805082</v>
      </c>
      <c r="M36" s="20"/>
      <c r="N36" s="35">
        <f t="shared" si="0"/>
        <v>12805082</v>
      </c>
      <c r="O36" s="20"/>
      <c r="P36" s="20"/>
      <c r="Q36" s="20">
        <f>13405082-600000</f>
        <v>12805082</v>
      </c>
      <c r="R36" s="20"/>
      <c r="S36" s="20"/>
      <c r="T36" s="80">
        <f t="shared" si="3"/>
        <v>12805082</v>
      </c>
      <c r="U36" s="38"/>
    </row>
    <row r="37" spans="1:21" ht="25.5" x14ac:dyDescent="0.25">
      <c r="A37" s="5">
        <v>33</v>
      </c>
      <c r="B37" s="12" t="s">
        <v>49</v>
      </c>
      <c r="C37" s="22"/>
      <c r="D37" s="20"/>
      <c r="E37" s="19">
        <f t="shared" si="1"/>
        <v>0</v>
      </c>
      <c r="F37" s="20"/>
      <c r="G37" s="20"/>
      <c r="H37" s="20"/>
      <c r="I37" s="20"/>
      <c r="J37" s="20"/>
      <c r="K37" s="21">
        <f t="shared" si="2"/>
        <v>0</v>
      </c>
      <c r="L37" s="22"/>
      <c r="M37" s="20">
        <v>15345000</v>
      </c>
      <c r="N37" s="35">
        <f t="shared" si="0"/>
        <v>15345000</v>
      </c>
      <c r="O37" s="20"/>
      <c r="P37" s="20"/>
      <c r="Q37" s="20">
        <v>460350</v>
      </c>
      <c r="R37" s="20"/>
      <c r="S37" s="20">
        <v>15345000</v>
      </c>
      <c r="T37" s="80">
        <f t="shared" si="3"/>
        <v>15805350</v>
      </c>
      <c r="U37" s="38"/>
    </row>
    <row r="38" spans="1:21" ht="25.5" x14ac:dyDescent="0.25">
      <c r="A38" s="5">
        <v>34</v>
      </c>
      <c r="B38" s="12" t="s">
        <v>50</v>
      </c>
      <c r="C38" s="22">
        <v>48206527</v>
      </c>
      <c r="D38" s="38"/>
      <c r="E38" s="19">
        <f t="shared" ref="E38:E48" si="4">SUM(C38:C38)</f>
        <v>48206527</v>
      </c>
      <c r="F38" s="20"/>
      <c r="G38" s="20"/>
      <c r="H38" s="20">
        <v>6075229</v>
      </c>
      <c r="I38" s="20"/>
      <c r="J38" s="20"/>
      <c r="K38" s="21">
        <f t="shared" si="2"/>
        <v>6075229</v>
      </c>
      <c r="L38" s="22">
        <v>96333061</v>
      </c>
      <c r="M38" s="20"/>
      <c r="N38" s="35">
        <f t="shared" si="0"/>
        <v>96333061</v>
      </c>
      <c r="O38" s="20"/>
      <c r="P38" s="20"/>
      <c r="Q38" s="20">
        <v>929650</v>
      </c>
      <c r="R38" s="20"/>
      <c r="S38" s="20">
        <v>100477779</v>
      </c>
      <c r="T38" s="80">
        <f t="shared" si="3"/>
        <v>101407429</v>
      </c>
      <c r="U38" s="38"/>
    </row>
    <row r="39" spans="1:21" ht="25.5" x14ac:dyDescent="0.25">
      <c r="A39" s="5">
        <v>35</v>
      </c>
      <c r="B39" s="12" t="s">
        <v>51</v>
      </c>
      <c r="C39" s="22"/>
      <c r="D39" s="38"/>
      <c r="E39" s="19">
        <f t="shared" si="4"/>
        <v>0</v>
      </c>
      <c r="F39" s="20"/>
      <c r="G39" s="20"/>
      <c r="H39" s="20">
        <v>108029</v>
      </c>
      <c r="I39" s="20"/>
      <c r="J39" s="20"/>
      <c r="K39" s="21">
        <f t="shared" si="2"/>
        <v>108029</v>
      </c>
      <c r="L39" s="22">
        <v>40197000</v>
      </c>
      <c r="M39" s="20"/>
      <c r="N39" s="35">
        <f t="shared" si="0"/>
        <v>40197000</v>
      </c>
      <c r="O39" s="20"/>
      <c r="P39" s="20"/>
      <c r="Q39" s="20">
        <v>450000</v>
      </c>
      <c r="R39" s="20"/>
      <c r="S39" s="20">
        <v>39747000</v>
      </c>
      <c r="T39" s="80">
        <f t="shared" si="3"/>
        <v>40197000</v>
      </c>
      <c r="U39" s="38"/>
    </row>
    <row r="40" spans="1:21" ht="25.5" x14ac:dyDescent="0.25">
      <c r="A40" s="5">
        <v>36</v>
      </c>
      <c r="B40" s="12" t="s">
        <v>52</v>
      </c>
      <c r="C40" s="22">
        <v>15352211</v>
      </c>
      <c r="D40" s="38"/>
      <c r="E40" s="19">
        <f t="shared" si="4"/>
        <v>15352211</v>
      </c>
      <c r="F40" s="20">
        <v>6160000</v>
      </c>
      <c r="G40" s="20">
        <v>1146600</v>
      </c>
      <c r="H40" s="20">
        <v>84810</v>
      </c>
      <c r="I40" s="20"/>
      <c r="J40" s="20"/>
      <c r="K40" s="21">
        <f t="shared" si="2"/>
        <v>7391410</v>
      </c>
      <c r="L40" s="22">
        <v>15168001</v>
      </c>
      <c r="M40" s="20"/>
      <c r="N40" s="35">
        <f t="shared" si="0"/>
        <v>15168001</v>
      </c>
      <c r="O40" s="20">
        <v>10640000</v>
      </c>
      <c r="P40" s="20">
        <v>2801400</v>
      </c>
      <c r="Q40" s="20">
        <v>1726601</v>
      </c>
      <c r="R40" s="20"/>
      <c r="S40" s="20"/>
      <c r="T40" s="80">
        <f t="shared" si="3"/>
        <v>15168001</v>
      </c>
      <c r="U40" s="38"/>
    </row>
    <row r="41" spans="1:21" ht="25.5" x14ac:dyDescent="0.25">
      <c r="A41" s="5">
        <v>37</v>
      </c>
      <c r="B41" s="12" t="s">
        <v>53</v>
      </c>
      <c r="C41" s="22">
        <v>9394307</v>
      </c>
      <c r="D41" s="38"/>
      <c r="E41" s="19">
        <f t="shared" si="4"/>
        <v>9394307</v>
      </c>
      <c r="F41" s="20">
        <v>1734600</v>
      </c>
      <c r="G41" s="20">
        <v>327600</v>
      </c>
      <c r="H41" s="20">
        <v>85528</v>
      </c>
      <c r="I41" s="20"/>
      <c r="J41" s="20"/>
      <c r="K41" s="21">
        <f t="shared" si="2"/>
        <v>2147728</v>
      </c>
      <c r="L41" s="22">
        <v>14037479</v>
      </c>
      <c r="M41" s="20"/>
      <c r="N41" s="35">
        <f t="shared" si="0"/>
        <v>14037479</v>
      </c>
      <c r="O41" s="20">
        <v>9069400</v>
      </c>
      <c r="P41" s="20">
        <v>1715800</v>
      </c>
      <c r="Q41" s="20">
        <f>1258472+723807</f>
        <v>1982279</v>
      </c>
      <c r="R41" s="20"/>
      <c r="S41" s="20">
        <v>1270000</v>
      </c>
      <c r="T41" s="80">
        <f t="shared" si="3"/>
        <v>14037479</v>
      </c>
      <c r="U41" s="38"/>
    </row>
    <row r="42" spans="1:21" ht="38.25" x14ac:dyDescent="0.25">
      <c r="A42" s="5">
        <v>38</v>
      </c>
      <c r="B42" s="12" t="s">
        <v>54</v>
      </c>
      <c r="C42" s="22">
        <v>3496509</v>
      </c>
      <c r="D42" s="38"/>
      <c r="E42" s="19">
        <f t="shared" si="4"/>
        <v>3496509</v>
      </c>
      <c r="F42" s="20"/>
      <c r="G42" s="20"/>
      <c r="H42" s="20"/>
      <c r="I42" s="20"/>
      <c r="J42" s="20"/>
      <c r="K42" s="21">
        <f t="shared" si="2"/>
        <v>0</v>
      </c>
      <c r="L42" s="22">
        <v>3496509</v>
      </c>
      <c r="M42" s="20"/>
      <c r="N42" s="35">
        <f t="shared" si="0"/>
        <v>3496509</v>
      </c>
      <c r="O42" s="20">
        <v>230000</v>
      </c>
      <c r="P42" s="20">
        <v>45000</v>
      </c>
      <c r="Q42" s="20">
        <f>2396844+824765</f>
        <v>3221609</v>
      </c>
      <c r="R42" s="20"/>
      <c r="S42" s="20"/>
      <c r="T42" s="80">
        <f t="shared" si="3"/>
        <v>3496609</v>
      </c>
      <c r="U42" s="38"/>
    </row>
    <row r="43" spans="1:21" ht="25.5" x14ac:dyDescent="0.25">
      <c r="A43" s="5">
        <v>39</v>
      </c>
      <c r="B43" s="12" t="s">
        <v>55</v>
      </c>
      <c r="C43" s="22">
        <v>40964451</v>
      </c>
      <c r="D43" s="38"/>
      <c r="E43" s="19">
        <f t="shared" si="4"/>
        <v>40964451</v>
      </c>
      <c r="F43" s="20">
        <v>2259680</v>
      </c>
      <c r="G43" s="20">
        <v>379080</v>
      </c>
      <c r="H43" s="20">
        <v>12693443</v>
      </c>
      <c r="I43" s="20"/>
      <c r="J43" s="20"/>
      <c r="K43" s="21">
        <f t="shared" si="2"/>
        <v>15332203</v>
      </c>
      <c r="L43" s="22">
        <v>25322853</v>
      </c>
      <c r="M43" s="20"/>
      <c r="N43" s="35">
        <f t="shared" si="0"/>
        <v>25322853</v>
      </c>
      <c r="O43" s="20">
        <v>4253544</v>
      </c>
      <c r="P43" s="20">
        <v>1224720</v>
      </c>
      <c r="Q43" s="20">
        <f>12350796+7493793</f>
        <v>19844589</v>
      </c>
      <c r="R43" s="20"/>
      <c r="S43" s="20"/>
      <c r="T43" s="80">
        <f t="shared" si="3"/>
        <v>25322853</v>
      </c>
      <c r="U43" s="38"/>
    </row>
    <row r="44" spans="1:21" x14ac:dyDescent="0.25">
      <c r="A44" s="5">
        <v>40</v>
      </c>
      <c r="B44" s="13" t="s">
        <v>47</v>
      </c>
      <c r="C44" s="22">
        <v>208214631</v>
      </c>
      <c r="D44" s="38"/>
      <c r="E44" s="19">
        <f t="shared" si="4"/>
        <v>208214631</v>
      </c>
      <c r="F44" s="20"/>
      <c r="G44" s="20"/>
      <c r="H44" s="20">
        <v>3000000</v>
      </c>
      <c r="I44" s="20"/>
      <c r="J44" s="20"/>
      <c r="K44" s="21">
        <f t="shared" si="2"/>
        <v>3000000</v>
      </c>
      <c r="L44" s="22">
        <v>203703331</v>
      </c>
      <c r="M44" s="20"/>
      <c r="N44" s="35">
        <f t="shared" si="0"/>
        <v>203703331</v>
      </c>
      <c r="O44" s="20"/>
      <c r="P44" s="20"/>
      <c r="Q44" s="20">
        <v>17438231</v>
      </c>
      <c r="R44" s="20"/>
      <c r="S44" s="20">
        <v>186265100</v>
      </c>
      <c r="T44" s="80">
        <f t="shared" si="3"/>
        <v>203703331</v>
      </c>
      <c r="U44" s="38"/>
    </row>
    <row r="45" spans="1:21" ht="25.5" x14ac:dyDescent="0.25">
      <c r="A45" s="5">
        <v>41</v>
      </c>
      <c r="B45" s="12" t="s">
        <v>48</v>
      </c>
      <c r="C45" s="22">
        <v>47680067</v>
      </c>
      <c r="D45" s="38"/>
      <c r="E45" s="19">
        <f t="shared" si="4"/>
        <v>47680067</v>
      </c>
      <c r="F45" s="20"/>
      <c r="G45" s="20"/>
      <c r="H45" s="20">
        <v>1930000</v>
      </c>
      <c r="I45" s="20"/>
      <c r="J45" s="20"/>
      <c r="K45" s="21">
        <f t="shared" si="2"/>
        <v>1930000</v>
      </c>
      <c r="L45" s="22">
        <v>35359459</v>
      </c>
      <c r="M45" s="20"/>
      <c r="N45" s="35">
        <f t="shared" si="0"/>
        <v>35359459</v>
      </c>
      <c r="O45" s="20"/>
      <c r="P45" s="20"/>
      <c r="Q45" s="20"/>
      <c r="R45" s="20"/>
      <c r="S45" s="20">
        <v>35359459</v>
      </c>
      <c r="T45" s="80">
        <f t="shared" si="3"/>
        <v>35359459</v>
      </c>
      <c r="U45" s="38"/>
    </row>
    <row r="46" spans="1:21" ht="25.5" x14ac:dyDescent="0.25">
      <c r="A46" s="5">
        <v>42</v>
      </c>
      <c r="B46" s="12" t="s">
        <v>56</v>
      </c>
      <c r="C46" s="22">
        <v>170755818</v>
      </c>
      <c r="D46" s="38"/>
      <c r="E46" s="19">
        <f t="shared" si="4"/>
        <v>170755818</v>
      </c>
      <c r="F46" s="20"/>
      <c r="G46" s="20"/>
      <c r="H46" s="20">
        <v>60000</v>
      </c>
      <c r="I46" s="20"/>
      <c r="J46" s="20"/>
      <c r="K46" s="21">
        <f t="shared" si="2"/>
        <v>60000</v>
      </c>
      <c r="L46" s="22">
        <v>170755818</v>
      </c>
      <c r="M46" s="20"/>
      <c r="N46" s="35">
        <f t="shared" si="0"/>
        <v>170755818</v>
      </c>
      <c r="O46" s="20"/>
      <c r="P46" s="20"/>
      <c r="Q46" s="20">
        <v>11855380</v>
      </c>
      <c r="R46" s="20"/>
      <c r="S46" s="20">
        <v>158900438</v>
      </c>
      <c r="T46" s="80">
        <f t="shared" si="3"/>
        <v>170755818</v>
      </c>
      <c r="U46" s="38"/>
    </row>
    <row r="47" spans="1:21" ht="25.5" x14ac:dyDescent="0.25">
      <c r="A47" s="5">
        <v>43</v>
      </c>
      <c r="B47" s="12" t="s">
        <v>57</v>
      </c>
      <c r="C47" s="22">
        <v>55156644</v>
      </c>
      <c r="D47" s="38"/>
      <c r="E47" s="19">
        <f t="shared" si="4"/>
        <v>55156644</v>
      </c>
      <c r="F47" s="20"/>
      <c r="G47" s="20"/>
      <c r="H47" s="20">
        <v>1879400</v>
      </c>
      <c r="I47" s="20"/>
      <c r="J47" s="20"/>
      <c r="K47" s="21">
        <f t="shared" si="2"/>
        <v>1879400</v>
      </c>
      <c r="L47" s="22">
        <v>42793488</v>
      </c>
      <c r="M47" s="20"/>
      <c r="N47" s="35">
        <f t="shared" si="0"/>
        <v>42793488</v>
      </c>
      <c r="O47" s="20"/>
      <c r="P47" s="20"/>
      <c r="Q47" s="20">
        <v>223000</v>
      </c>
      <c r="R47" s="20"/>
      <c r="S47" s="20">
        <v>42570488</v>
      </c>
      <c r="T47" s="80">
        <f t="shared" si="3"/>
        <v>42793488</v>
      </c>
      <c r="U47" s="38"/>
    </row>
    <row r="48" spans="1:21" ht="25.5" x14ac:dyDescent="0.25">
      <c r="A48" s="5">
        <v>44</v>
      </c>
      <c r="B48" s="12" t="s">
        <v>58</v>
      </c>
      <c r="C48" s="22">
        <v>20156252</v>
      </c>
      <c r="D48" s="38"/>
      <c r="E48" s="19">
        <f t="shared" si="4"/>
        <v>20156252</v>
      </c>
      <c r="F48" s="20">
        <v>473880</v>
      </c>
      <c r="G48" s="20">
        <v>85140</v>
      </c>
      <c r="H48" s="20">
        <v>121937</v>
      </c>
      <c r="I48" s="20"/>
      <c r="J48" s="20"/>
      <c r="K48" s="21">
        <f t="shared" si="2"/>
        <v>680957</v>
      </c>
      <c r="L48" s="22">
        <v>19470075</v>
      </c>
      <c r="M48" s="20"/>
      <c r="N48" s="35">
        <f t="shared" si="0"/>
        <v>19470075</v>
      </c>
      <c r="O48" s="20">
        <v>480000</v>
      </c>
      <c r="P48" s="20">
        <v>84240</v>
      </c>
      <c r="Q48" s="20">
        <f>15000000+3905835</f>
        <v>18905835</v>
      </c>
      <c r="R48" s="20"/>
      <c r="S48" s="20"/>
      <c r="T48" s="80">
        <f t="shared" si="3"/>
        <v>19470075</v>
      </c>
      <c r="U48" s="38"/>
    </row>
    <row r="49" spans="1:21" ht="25.5" x14ac:dyDescent="0.25">
      <c r="A49" s="5">
        <v>45</v>
      </c>
      <c r="B49" s="12" t="s">
        <v>127</v>
      </c>
      <c r="C49" s="22"/>
      <c r="D49" s="38"/>
      <c r="E49" s="19"/>
      <c r="F49" s="20"/>
      <c r="G49" s="20"/>
      <c r="H49" s="20"/>
      <c r="I49" s="20"/>
      <c r="J49" s="20"/>
      <c r="K49" s="21"/>
      <c r="L49" s="22"/>
      <c r="M49" s="20">
        <v>300000</v>
      </c>
      <c r="N49" s="35">
        <f t="shared" si="0"/>
        <v>300000</v>
      </c>
      <c r="O49" s="20"/>
      <c r="P49" s="20"/>
      <c r="Q49" s="20"/>
      <c r="R49" s="20"/>
      <c r="S49" s="20">
        <v>352700</v>
      </c>
      <c r="T49" s="80">
        <f t="shared" si="3"/>
        <v>352700</v>
      </c>
      <c r="U49" s="38"/>
    </row>
    <row r="50" spans="1:21" ht="25.5" x14ac:dyDescent="0.25">
      <c r="A50" s="5">
        <v>46</v>
      </c>
      <c r="B50" s="12" t="s">
        <v>128</v>
      </c>
      <c r="C50" s="22"/>
      <c r="D50" s="38"/>
      <c r="E50" s="19"/>
      <c r="F50" s="20"/>
      <c r="G50" s="20"/>
      <c r="H50" s="20"/>
      <c r="I50" s="20"/>
      <c r="J50" s="20"/>
      <c r="K50" s="21"/>
      <c r="L50" s="22"/>
      <c r="M50" s="20">
        <v>481800</v>
      </c>
      <c r="N50" s="35">
        <f t="shared" si="0"/>
        <v>481800</v>
      </c>
      <c r="O50" s="20"/>
      <c r="P50" s="20"/>
      <c r="Q50" s="20"/>
      <c r="R50" s="20"/>
      <c r="S50" s="20">
        <v>803000</v>
      </c>
      <c r="T50" s="80">
        <f t="shared" si="3"/>
        <v>803000</v>
      </c>
      <c r="U50" s="38"/>
    </row>
    <row r="51" spans="1:21" ht="25.5" x14ac:dyDescent="0.25">
      <c r="A51" s="5">
        <v>47</v>
      </c>
      <c r="B51" s="12" t="s">
        <v>129</v>
      </c>
      <c r="C51" s="22"/>
      <c r="D51" s="38"/>
      <c r="E51" s="19"/>
      <c r="F51" s="20"/>
      <c r="G51" s="20"/>
      <c r="H51" s="20"/>
      <c r="I51" s="20"/>
      <c r="J51" s="20"/>
      <c r="K51" s="21"/>
      <c r="L51" s="22"/>
      <c r="M51" s="20">
        <v>2000000</v>
      </c>
      <c r="N51" s="35">
        <f t="shared" si="0"/>
        <v>2000000</v>
      </c>
      <c r="O51" s="20"/>
      <c r="P51" s="20"/>
      <c r="Q51" s="20"/>
      <c r="R51" s="20"/>
      <c r="S51" s="20">
        <v>2205988</v>
      </c>
      <c r="T51" s="80">
        <f t="shared" si="3"/>
        <v>2205988</v>
      </c>
      <c r="U51" s="38"/>
    </row>
    <row r="52" spans="1:21" ht="38.25" x14ac:dyDescent="0.25">
      <c r="A52" s="5">
        <v>48</v>
      </c>
      <c r="B52" s="12" t="s">
        <v>130</v>
      </c>
      <c r="C52" s="22"/>
      <c r="D52" s="38"/>
      <c r="E52" s="19"/>
      <c r="F52" s="20"/>
      <c r="G52" s="20"/>
      <c r="H52" s="20"/>
      <c r="I52" s="20"/>
      <c r="J52" s="20"/>
      <c r="K52" s="21"/>
      <c r="L52" s="22"/>
      <c r="M52" s="20">
        <v>1417441</v>
      </c>
      <c r="N52" s="35">
        <f t="shared" si="0"/>
        <v>1417441</v>
      </c>
      <c r="O52" s="20"/>
      <c r="P52" s="20"/>
      <c r="Q52" s="20"/>
      <c r="R52" s="20"/>
      <c r="S52" s="20">
        <v>2362400</v>
      </c>
      <c r="T52" s="80">
        <f t="shared" si="3"/>
        <v>2362400</v>
      </c>
      <c r="U52" s="38"/>
    </row>
    <row r="53" spans="1:21" ht="25.5" x14ac:dyDescent="0.25">
      <c r="A53" s="5">
        <v>49</v>
      </c>
      <c r="B53" s="12" t="s">
        <v>131</v>
      </c>
      <c r="C53" s="22"/>
      <c r="D53" s="38"/>
      <c r="E53" s="19"/>
      <c r="F53" s="20"/>
      <c r="G53" s="20"/>
      <c r="H53" s="20"/>
      <c r="I53" s="20"/>
      <c r="J53" s="20"/>
      <c r="K53" s="21"/>
      <c r="L53" s="22"/>
      <c r="M53" s="20">
        <v>1759077</v>
      </c>
      <c r="N53" s="35">
        <f t="shared" si="0"/>
        <v>1759077</v>
      </c>
      <c r="O53" s="20"/>
      <c r="P53" s="20"/>
      <c r="Q53" s="20"/>
      <c r="R53" s="20"/>
      <c r="S53" s="20">
        <v>1954530</v>
      </c>
      <c r="T53" s="80">
        <f t="shared" si="3"/>
        <v>1954530</v>
      </c>
      <c r="U53" s="38"/>
    </row>
    <row r="54" spans="1:21" x14ac:dyDescent="0.25">
      <c r="A54" s="5">
        <v>50</v>
      </c>
      <c r="B54" s="12" t="s">
        <v>132</v>
      </c>
      <c r="C54" s="22"/>
      <c r="D54" s="38"/>
      <c r="E54" s="19"/>
      <c r="F54" s="20"/>
      <c r="G54" s="20"/>
      <c r="H54" s="20"/>
      <c r="I54" s="20"/>
      <c r="J54" s="20"/>
      <c r="K54" s="21"/>
      <c r="L54" s="22">
        <v>600000</v>
      </c>
      <c r="M54" s="20"/>
      <c r="N54" s="35">
        <f t="shared" si="0"/>
        <v>600000</v>
      </c>
      <c r="O54" s="20"/>
      <c r="P54" s="20"/>
      <c r="Q54" s="20"/>
      <c r="R54" s="20"/>
      <c r="S54" s="20">
        <v>600000</v>
      </c>
      <c r="T54" s="80">
        <f t="shared" si="3"/>
        <v>600000</v>
      </c>
      <c r="U54" s="38"/>
    </row>
    <row r="55" spans="1:21" x14ac:dyDescent="0.25">
      <c r="A55" s="5">
        <v>51</v>
      </c>
      <c r="B55" s="12" t="s">
        <v>136</v>
      </c>
      <c r="C55" s="22"/>
      <c r="D55" s="38"/>
      <c r="E55" s="19"/>
      <c r="F55" s="20"/>
      <c r="G55" s="20"/>
      <c r="H55" s="20"/>
      <c r="I55" s="20"/>
      <c r="J55" s="20"/>
      <c r="K55" s="21"/>
      <c r="L55" s="22"/>
      <c r="M55" s="20">
        <v>1592000</v>
      </c>
      <c r="N55" s="35">
        <f t="shared" si="0"/>
        <v>1592000</v>
      </c>
      <c r="O55" s="20"/>
      <c r="P55" s="20"/>
      <c r="Q55" s="20">
        <v>1592000</v>
      </c>
      <c r="R55" s="20"/>
      <c r="S55" s="20"/>
      <c r="T55" s="80">
        <f t="shared" si="3"/>
        <v>1592000</v>
      </c>
      <c r="U55" s="38"/>
    </row>
    <row r="56" spans="1:21" x14ac:dyDescent="0.25">
      <c r="A56" s="5">
        <v>52</v>
      </c>
      <c r="B56" s="12" t="s">
        <v>137</v>
      </c>
      <c r="C56" s="22"/>
      <c r="D56" s="38"/>
      <c r="E56" s="19"/>
      <c r="F56" s="20"/>
      <c r="G56" s="20"/>
      <c r="H56" s="20"/>
      <c r="I56" s="20"/>
      <c r="J56" s="20"/>
      <c r="K56" s="21"/>
      <c r="L56" s="22"/>
      <c r="M56" s="20">
        <v>2882100</v>
      </c>
      <c r="N56" s="35">
        <f t="shared" si="0"/>
        <v>2882100</v>
      </c>
      <c r="O56" s="20"/>
      <c r="P56" s="20"/>
      <c r="Q56" s="20">
        <v>2882100</v>
      </c>
      <c r="R56" s="20"/>
      <c r="S56" s="20"/>
      <c r="T56" s="80">
        <f t="shared" si="3"/>
        <v>2882100</v>
      </c>
      <c r="U56" s="38"/>
    </row>
    <row r="57" spans="1:21" x14ac:dyDescent="0.25">
      <c r="A57" s="5">
        <v>53</v>
      </c>
      <c r="B57" s="12" t="s">
        <v>138</v>
      </c>
      <c r="C57" s="22"/>
      <c r="D57" s="38"/>
      <c r="E57" s="19"/>
      <c r="F57" s="20"/>
      <c r="G57" s="20"/>
      <c r="H57" s="20"/>
      <c r="I57" s="20"/>
      <c r="J57" s="20"/>
      <c r="K57" s="21"/>
      <c r="L57" s="22"/>
      <c r="M57" s="20">
        <v>10475560</v>
      </c>
      <c r="N57" s="35">
        <f t="shared" si="0"/>
        <v>10475560</v>
      </c>
      <c r="O57" s="20"/>
      <c r="P57" s="20"/>
      <c r="Q57" s="20">
        <v>5475560</v>
      </c>
      <c r="R57" s="20"/>
      <c r="S57" s="20">
        <v>5000000</v>
      </c>
      <c r="T57" s="80">
        <f t="shared" si="3"/>
        <v>10475560</v>
      </c>
      <c r="U57" s="38"/>
    </row>
    <row r="58" spans="1:21" x14ac:dyDescent="0.25">
      <c r="A58" s="5">
        <v>54</v>
      </c>
      <c r="B58" s="39" t="s">
        <v>69</v>
      </c>
      <c r="C58" s="22">
        <v>306587</v>
      </c>
      <c r="D58" s="20">
        <v>74350017</v>
      </c>
      <c r="E58" s="35"/>
      <c r="F58" s="20">
        <v>75515672</v>
      </c>
      <c r="G58" s="20">
        <v>15250419</v>
      </c>
      <c r="H58" s="20">
        <v>5114026</v>
      </c>
      <c r="I58" s="20"/>
      <c r="J58" s="20">
        <v>1222545</v>
      </c>
      <c r="K58" s="21">
        <f t="shared" ref="K58:K75" si="5">SUM(F58:J58)</f>
        <v>97102662</v>
      </c>
      <c r="L58" s="22">
        <f>6500+1400000</f>
        <v>1406500</v>
      </c>
      <c r="M58" s="20">
        <v>76435800</v>
      </c>
      <c r="N58" s="35">
        <f t="shared" si="0"/>
        <v>77842300</v>
      </c>
      <c r="O58" s="20">
        <v>77715200</v>
      </c>
      <c r="P58" s="20">
        <v>15078000</v>
      </c>
      <c r="Q58" s="20">
        <f>5114000-19500</f>
        <v>5094500</v>
      </c>
      <c r="R58" s="20"/>
      <c r="S58" s="20"/>
      <c r="T58" s="80">
        <f t="shared" si="3"/>
        <v>97887700</v>
      </c>
      <c r="U58" s="38"/>
    </row>
    <row r="59" spans="1:21" x14ac:dyDescent="0.25">
      <c r="A59" s="73">
        <v>122</v>
      </c>
      <c r="B59" s="86" t="s">
        <v>143</v>
      </c>
      <c r="C59" s="74"/>
      <c r="D59" s="72"/>
      <c r="E59" s="75"/>
      <c r="F59" s="72"/>
      <c r="G59" s="72"/>
      <c r="H59" s="72"/>
      <c r="I59" s="72"/>
      <c r="J59" s="72"/>
      <c r="K59" s="76"/>
      <c r="L59" s="74"/>
      <c r="M59" s="72"/>
      <c r="N59" s="77"/>
      <c r="O59" s="72"/>
      <c r="P59" s="72"/>
      <c r="Q59" s="72"/>
      <c r="R59" s="72"/>
      <c r="S59" s="72">
        <v>50000</v>
      </c>
      <c r="T59" s="81">
        <f>SUM(O59:S59)</f>
        <v>50000</v>
      </c>
      <c r="U59" s="38"/>
    </row>
    <row r="60" spans="1:21" x14ac:dyDescent="0.25">
      <c r="A60" s="5">
        <v>55</v>
      </c>
      <c r="B60" s="17" t="s">
        <v>0</v>
      </c>
      <c r="C60" s="40">
        <v>379975</v>
      </c>
      <c r="D60" s="41">
        <v>72684600</v>
      </c>
      <c r="E60" s="19">
        <f t="shared" ref="E60:E75" si="6">SUM(C60:D60)</f>
        <v>73064575</v>
      </c>
      <c r="F60" s="42">
        <v>59634640</v>
      </c>
      <c r="G60" s="42">
        <v>11869552</v>
      </c>
      <c r="H60" s="42">
        <v>9453564</v>
      </c>
      <c r="I60" s="42"/>
      <c r="J60" s="42">
        <v>161720</v>
      </c>
      <c r="K60" s="21">
        <f t="shared" si="5"/>
        <v>81119476</v>
      </c>
      <c r="L60" s="40">
        <v>345000</v>
      </c>
      <c r="M60" s="41">
        <v>72180800</v>
      </c>
      <c r="N60" s="19">
        <f>SUM(L60:M60)</f>
        <v>72525800</v>
      </c>
      <c r="O60" s="42">
        <v>59730000</v>
      </c>
      <c r="P60" s="42">
        <v>11800000</v>
      </c>
      <c r="Q60" s="42">
        <v>9460000</v>
      </c>
      <c r="R60" s="43"/>
      <c r="S60" s="43"/>
      <c r="T60" s="44">
        <f>SUM(O60:S60)</f>
        <v>80990000</v>
      </c>
      <c r="U60" s="38"/>
    </row>
    <row r="61" spans="1:21" s="45" customFormat="1" x14ac:dyDescent="0.25">
      <c r="A61" s="5">
        <v>56</v>
      </c>
      <c r="B61" s="17" t="s">
        <v>78</v>
      </c>
      <c r="C61" s="18"/>
      <c r="D61" s="19"/>
      <c r="E61" s="19"/>
      <c r="F61" s="35"/>
      <c r="G61" s="35"/>
      <c r="H61" s="35"/>
      <c r="I61" s="35"/>
      <c r="J61" s="35"/>
      <c r="K61" s="21"/>
      <c r="L61" s="18"/>
      <c r="M61" s="19"/>
      <c r="N61" s="19"/>
      <c r="O61" s="35"/>
      <c r="P61" s="35"/>
      <c r="Q61" s="35"/>
      <c r="R61" s="44"/>
      <c r="S61" s="44"/>
      <c r="T61" s="44"/>
      <c r="U61" s="42"/>
    </row>
    <row r="62" spans="1:21" s="15" customFormat="1" x14ac:dyDescent="0.25">
      <c r="A62" s="5">
        <v>57</v>
      </c>
      <c r="B62" s="46" t="s">
        <v>71</v>
      </c>
      <c r="C62" s="40">
        <v>1254813</v>
      </c>
      <c r="D62" s="41">
        <f>2162855+4400770</f>
        <v>6563625</v>
      </c>
      <c r="E62" s="19">
        <f t="shared" si="6"/>
        <v>7818438</v>
      </c>
      <c r="F62" s="42">
        <v>10444851</v>
      </c>
      <c r="G62" s="42">
        <v>1837801</v>
      </c>
      <c r="H62" s="42">
        <v>3831792</v>
      </c>
      <c r="I62" s="42"/>
      <c r="J62" s="42">
        <v>138614</v>
      </c>
      <c r="K62" s="21">
        <f t="shared" si="5"/>
        <v>16253058</v>
      </c>
      <c r="L62" s="40">
        <f>1255000+1188000+166900+956000</f>
        <v>3565900</v>
      </c>
      <c r="M62" s="41">
        <f>4343900</f>
        <v>4343900</v>
      </c>
      <c r="N62" s="19">
        <f>SUM(L62:M62)</f>
        <v>7909800</v>
      </c>
      <c r="O62" s="42">
        <f>10016100+29000+166900</f>
        <v>10212000</v>
      </c>
      <c r="P62" s="42">
        <f>1937900-37900</f>
        <v>1900000</v>
      </c>
      <c r="Q62" s="42">
        <v>4000000</v>
      </c>
      <c r="R62" s="43"/>
      <c r="S62" s="43"/>
      <c r="T62" s="44">
        <f>SUM(O62:S62)</f>
        <v>16112000</v>
      </c>
      <c r="U62" s="35"/>
    </row>
    <row r="63" spans="1:21" s="45" customFormat="1" x14ac:dyDescent="0.25">
      <c r="A63" s="5">
        <v>58</v>
      </c>
      <c r="B63" s="47" t="s">
        <v>73</v>
      </c>
      <c r="C63" s="40">
        <v>15157980</v>
      </c>
      <c r="D63" s="48"/>
      <c r="E63" s="19">
        <f>SUM(C63:C63)</f>
        <v>15157980</v>
      </c>
      <c r="F63" s="42"/>
      <c r="G63" s="42"/>
      <c r="H63" s="42">
        <v>5178983</v>
      </c>
      <c r="I63" s="42"/>
      <c r="J63" s="42"/>
      <c r="K63" s="21">
        <f t="shared" si="5"/>
        <v>5178983</v>
      </c>
      <c r="L63" s="40">
        <v>9979010</v>
      </c>
      <c r="M63" s="48"/>
      <c r="N63" s="19">
        <f>SUM(L63:L63)</f>
        <v>9979010</v>
      </c>
      <c r="O63" s="42"/>
      <c r="P63" s="42"/>
      <c r="Q63" s="42">
        <v>9979010</v>
      </c>
      <c r="R63" s="43"/>
      <c r="S63" s="43"/>
      <c r="T63" s="44">
        <f t="shared" ref="T63:T77" si="7">SUM(O63:S63)</f>
        <v>9979010</v>
      </c>
      <c r="U63" s="42"/>
    </row>
    <row r="64" spans="1:21" s="45" customFormat="1" x14ac:dyDescent="0.25">
      <c r="A64" s="5">
        <v>59</v>
      </c>
      <c r="B64" s="47" t="s">
        <v>30</v>
      </c>
      <c r="C64" s="40"/>
      <c r="D64" s="41">
        <v>3135722</v>
      </c>
      <c r="E64" s="19">
        <f t="shared" si="6"/>
        <v>3135722</v>
      </c>
      <c r="F64" s="42">
        <v>1954152</v>
      </c>
      <c r="G64" s="42">
        <v>210995</v>
      </c>
      <c r="H64" s="42"/>
      <c r="I64" s="42"/>
      <c r="J64" s="42"/>
      <c r="K64" s="21">
        <f t="shared" si="5"/>
        <v>2165147</v>
      </c>
      <c r="L64" s="40"/>
      <c r="M64" s="41">
        <v>1052664</v>
      </c>
      <c r="N64" s="19">
        <f t="shared" ref="N64:N75" si="8">SUM(L64:M64)</f>
        <v>1052664</v>
      </c>
      <c r="O64" s="42">
        <v>1181000</v>
      </c>
      <c r="P64" s="42">
        <v>128000</v>
      </c>
      <c r="Q64" s="42"/>
      <c r="R64" s="43"/>
      <c r="S64" s="43"/>
      <c r="T64" s="44">
        <f t="shared" si="7"/>
        <v>1309000</v>
      </c>
      <c r="U64" s="42"/>
    </row>
    <row r="65" spans="1:21" s="45" customFormat="1" x14ac:dyDescent="0.25">
      <c r="A65" s="5">
        <v>60</v>
      </c>
      <c r="B65" s="17" t="s">
        <v>79</v>
      </c>
      <c r="C65" s="40"/>
      <c r="D65" s="41"/>
      <c r="E65" s="19"/>
      <c r="F65" s="42"/>
      <c r="G65" s="42"/>
      <c r="H65" s="42"/>
      <c r="I65" s="42"/>
      <c r="J65" s="42"/>
      <c r="K65" s="21"/>
      <c r="L65" s="40"/>
      <c r="M65" s="41"/>
      <c r="N65" s="19"/>
      <c r="O65" s="42"/>
      <c r="P65" s="42"/>
      <c r="Q65" s="42"/>
      <c r="R65" s="43"/>
      <c r="S65" s="43"/>
      <c r="T65" s="44">
        <f t="shared" si="7"/>
        <v>0</v>
      </c>
      <c r="U65" s="42"/>
    </row>
    <row r="66" spans="1:21" s="45" customFormat="1" x14ac:dyDescent="0.25">
      <c r="A66" s="5">
        <v>61</v>
      </c>
      <c r="B66" s="46" t="s">
        <v>35</v>
      </c>
      <c r="C66" s="49"/>
      <c r="D66" s="50"/>
      <c r="E66" s="19"/>
      <c r="F66" s="51">
        <v>120000</v>
      </c>
      <c r="G66" s="51">
        <v>33565</v>
      </c>
      <c r="H66" s="51">
        <v>451899</v>
      </c>
      <c r="I66" s="51">
        <v>120000</v>
      </c>
      <c r="J66" s="51"/>
      <c r="K66" s="21">
        <f t="shared" si="5"/>
        <v>725464</v>
      </c>
      <c r="L66" s="49"/>
      <c r="M66" s="50"/>
      <c r="N66" s="19"/>
      <c r="O66" s="51">
        <v>120000</v>
      </c>
      <c r="P66" s="51">
        <v>34000</v>
      </c>
      <c r="Q66" s="51">
        <v>455000</v>
      </c>
      <c r="R66" s="52"/>
      <c r="S66" s="52"/>
      <c r="T66" s="44">
        <f t="shared" si="7"/>
        <v>609000</v>
      </c>
      <c r="U66" s="42"/>
    </row>
    <row r="67" spans="1:21" s="53" customFormat="1" x14ac:dyDescent="0.25">
      <c r="A67" s="5">
        <v>62</v>
      </c>
      <c r="B67" s="46" t="s">
        <v>80</v>
      </c>
      <c r="C67" s="49"/>
      <c r="D67" s="50">
        <v>600000</v>
      </c>
      <c r="E67" s="19">
        <f t="shared" si="6"/>
        <v>600000</v>
      </c>
      <c r="F67" s="51">
        <v>384000</v>
      </c>
      <c r="G67" s="51">
        <v>61817</v>
      </c>
      <c r="H67" s="51">
        <v>236928</v>
      </c>
      <c r="I67" s="51"/>
      <c r="J67" s="51"/>
      <c r="K67" s="21">
        <f t="shared" si="5"/>
        <v>682745</v>
      </c>
      <c r="L67" s="49"/>
      <c r="M67" s="50">
        <v>600000</v>
      </c>
      <c r="N67" s="19">
        <f t="shared" si="8"/>
        <v>600000</v>
      </c>
      <c r="O67" s="51">
        <v>696000</v>
      </c>
      <c r="P67" s="51">
        <v>122500</v>
      </c>
      <c r="Q67" s="51">
        <v>240000</v>
      </c>
      <c r="R67" s="52"/>
      <c r="S67" s="52"/>
      <c r="T67" s="44">
        <f t="shared" si="7"/>
        <v>1058500</v>
      </c>
      <c r="U67" s="51"/>
    </row>
    <row r="68" spans="1:21" s="53" customFormat="1" x14ac:dyDescent="0.25">
      <c r="A68" s="5">
        <v>63</v>
      </c>
      <c r="B68" s="46" t="s">
        <v>81</v>
      </c>
      <c r="C68" s="49"/>
      <c r="D68" s="50">
        <v>7817800</v>
      </c>
      <c r="E68" s="19">
        <f t="shared" si="6"/>
        <v>7817800</v>
      </c>
      <c r="F68" s="51">
        <v>6680877</v>
      </c>
      <c r="G68" s="51">
        <v>1391559</v>
      </c>
      <c r="H68" s="51">
        <v>1727223</v>
      </c>
      <c r="I68" s="51"/>
      <c r="J68" s="51">
        <v>70900</v>
      </c>
      <c r="K68" s="21">
        <f t="shared" si="5"/>
        <v>9870559</v>
      </c>
      <c r="L68" s="49"/>
      <c r="M68" s="50">
        <f>7817800+400</f>
        <v>7818200</v>
      </c>
      <c r="N68" s="19">
        <f t="shared" si="8"/>
        <v>7818200</v>
      </c>
      <c r="O68" s="51">
        <v>7096800</v>
      </c>
      <c r="P68" s="51">
        <v>1340000</v>
      </c>
      <c r="Q68" s="51">
        <v>1728000</v>
      </c>
      <c r="R68" s="52"/>
      <c r="S68" s="52"/>
      <c r="T68" s="44">
        <f t="shared" si="7"/>
        <v>10164800</v>
      </c>
      <c r="U68" s="51"/>
    </row>
    <row r="69" spans="1:21" s="53" customFormat="1" x14ac:dyDescent="0.25">
      <c r="A69" s="5">
        <v>64</v>
      </c>
      <c r="B69" s="46" t="s">
        <v>82</v>
      </c>
      <c r="C69" s="49"/>
      <c r="D69" s="50">
        <v>226800</v>
      </c>
      <c r="E69" s="19">
        <f t="shared" si="6"/>
        <v>226800</v>
      </c>
      <c r="F69" s="51"/>
      <c r="G69" s="51"/>
      <c r="H69" s="51">
        <v>600000</v>
      </c>
      <c r="I69" s="51"/>
      <c r="J69" s="51"/>
      <c r="K69" s="21">
        <f t="shared" si="5"/>
        <v>600000</v>
      </c>
      <c r="L69" s="49"/>
      <c r="M69" s="50">
        <v>226800</v>
      </c>
      <c r="N69" s="19">
        <f t="shared" si="8"/>
        <v>226800</v>
      </c>
      <c r="O69" s="51"/>
      <c r="P69" s="51"/>
      <c r="Q69" s="51">
        <v>600000</v>
      </c>
      <c r="R69" s="52"/>
      <c r="S69" s="52"/>
      <c r="T69" s="44">
        <f t="shared" si="7"/>
        <v>600000</v>
      </c>
      <c r="U69" s="51"/>
    </row>
    <row r="70" spans="1:21" s="53" customFormat="1" x14ac:dyDescent="0.25">
      <c r="A70" s="5">
        <v>65</v>
      </c>
      <c r="B70" s="46" t="s">
        <v>83</v>
      </c>
      <c r="C70" s="49"/>
      <c r="D70" s="50"/>
      <c r="E70" s="19">
        <f t="shared" si="6"/>
        <v>0</v>
      </c>
      <c r="F70" s="51"/>
      <c r="G70" s="51">
        <v>1228</v>
      </c>
      <c r="H70" s="51">
        <v>266303</v>
      </c>
      <c r="I70" s="51"/>
      <c r="J70" s="51"/>
      <c r="K70" s="21">
        <f t="shared" si="5"/>
        <v>267531</v>
      </c>
      <c r="L70" s="49"/>
      <c r="M70" s="50"/>
      <c r="N70" s="19">
        <f t="shared" si="8"/>
        <v>0</v>
      </c>
      <c r="O70" s="51"/>
      <c r="P70" s="51">
        <v>1500</v>
      </c>
      <c r="Q70" s="51">
        <v>270000</v>
      </c>
      <c r="R70" s="52"/>
      <c r="S70" s="52"/>
      <c r="T70" s="44">
        <f t="shared" si="7"/>
        <v>271500</v>
      </c>
      <c r="U70" s="51"/>
    </row>
    <row r="71" spans="1:21" s="53" customFormat="1" x14ac:dyDescent="0.25">
      <c r="A71" s="5">
        <v>66</v>
      </c>
      <c r="B71" s="46" t="s">
        <v>84</v>
      </c>
      <c r="C71" s="49">
        <v>38025</v>
      </c>
      <c r="D71" s="50">
        <v>1635000</v>
      </c>
      <c r="E71" s="19">
        <f t="shared" si="6"/>
        <v>1673025</v>
      </c>
      <c r="F71" s="51">
        <v>8649475</v>
      </c>
      <c r="G71" s="51">
        <v>1827234</v>
      </c>
      <c r="H71" s="51">
        <v>2429584</v>
      </c>
      <c r="I71" s="51"/>
      <c r="J71" s="51">
        <v>9550</v>
      </c>
      <c r="K71" s="21">
        <f t="shared" si="5"/>
        <v>12915843</v>
      </c>
      <c r="L71" s="49"/>
      <c r="M71" s="50">
        <v>1635000</v>
      </c>
      <c r="N71" s="19">
        <f t="shared" si="8"/>
        <v>1635000</v>
      </c>
      <c r="O71" s="51">
        <v>7176100</v>
      </c>
      <c r="P71" s="51">
        <v>1388000</v>
      </c>
      <c r="Q71" s="51">
        <v>2500000</v>
      </c>
      <c r="R71" s="52"/>
      <c r="S71" s="52"/>
      <c r="T71" s="44">
        <f t="shared" si="7"/>
        <v>11064100</v>
      </c>
      <c r="U71" s="51"/>
    </row>
    <row r="72" spans="1:21" s="53" customFormat="1" x14ac:dyDescent="0.25">
      <c r="A72" s="5">
        <v>67</v>
      </c>
      <c r="B72" s="46" t="s">
        <v>85</v>
      </c>
      <c r="C72" s="49"/>
      <c r="D72" s="50">
        <v>5685000</v>
      </c>
      <c r="E72" s="19">
        <f t="shared" si="6"/>
        <v>5685000</v>
      </c>
      <c r="F72" s="51">
        <v>8043715</v>
      </c>
      <c r="G72" s="51">
        <v>1647630</v>
      </c>
      <c r="H72" s="51">
        <v>199988</v>
      </c>
      <c r="I72" s="51"/>
      <c r="J72" s="51"/>
      <c r="K72" s="21">
        <f t="shared" si="5"/>
        <v>9891333</v>
      </c>
      <c r="L72" s="49"/>
      <c r="M72" s="50">
        <v>5685000</v>
      </c>
      <c r="N72" s="19">
        <f t="shared" si="8"/>
        <v>5685000</v>
      </c>
      <c r="O72" s="51">
        <v>8592000</v>
      </c>
      <c r="P72" s="51">
        <v>1662000</v>
      </c>
      <c r="Q72" s="51">
        <v>205000</v>
      </c>
      <c r="R72" s="52"/>
      <c r="S72" s="52"/>
      <c r="T72" s="44">
        <f t="shared" si="7"/>
        <v>10459000</v>
      </c>
      <c r="U72" s="51"/>
    </row>
    <row r="73" spans="1:21" s="53" customFormat="1" x14ac:dyDescent="0.25">
      <c r="A73" s="5">
        <v>68</v>
      </c>
      <c r="B73" s="46" t="s">
        <v>86</v>
      </c>
      <c r="C73" s="49">
        <v>4396196</v>
      </c>
      <c r="D73" s="50">
        <v>2269760</v>
      </c>
      <c r="E73" s="19">
        <f t="shared" si="6"/>
        <v>6665956</v>
      </c>
      <c r="F73" s="51">
        <v>3774306</v>
      </c>
      <c r="G73" s="51">
        <v>774390</v>
      </c>
      <c r="H73" s="51">
        <v>6704298</v>
      </c>
      <c r="I73" s="51"/>
      <c r="J73" s="51"/>
      <c r="K73" s="21">
        <f t="shared" si="5"/>
        <v>11252994</v>
      </c>
      <c r="L73" s="49">
        <v>4369000</v>
      </c>
      <c r="M73" s="50">
        <v>2269760</v>
      </c>
      <c r="N73" s="19">
        <f t="shared" si="8"/>
        <v>6638760</v>
      </c>
      <c r="O73" s="51">
        <v>3757000</v>
      </c>
      <c r="P73" s="51">
        <v>733000</v>
      </c>
      <c r="Q73" s="51">
        <v>6705000</v>
      </c>
      <c r="R73" s="52"/>
      <c r="S73" s="52"/>
      <c r="T73" s="44">
        <f t="shared" si="7"/>
        <v>11195000</v>
      </c>
      <c r="U73" s="51"/>
    </row>
    <row r="74" spans="1:21" s="53" customFormat="1" x14ac:dyDescent="0.25">
      <c r="A74" s="5">
        <v>69</v>
      </c>
      <c r="B74" s="46" t="s">
        <v>87</v>
      </c>
      <c r="C74" s="49"/>
      <c r="D74" s="50">
        <v>3400000</v>
      </c>
      <c r="E74" s="19">
        <f t="shared" si="6"/>
        <v>3400000</v>
      </c>
      <c r="F74" s="51">
        <v>10437130</v>
      </c>
      <c r="G74" s="51">
        <v>2112361</v>
      </c>
      <c r="H74" s="51">
        <v>557088</v>
      </c>
      <c r="I74" s="51"/>
      <c r="J74" s="51"/>
      <c r="K74" s="21">
        <f t="shared" si="5"/>
        <v>13106579</v>
      </c>
      <c r="L74" s="49"/>
      <c r="M74" s="50">
        <v>3400000</v>
      </c>
      <c r="N74" s="19">
        <f t="shared" si="8"/>
        <v>3400000</v>
      </c>
      <c r="O74" s="51">
        <v>7413000</v>
      </c>
      <c r="P74" s="51">
        <v>1410000</v>
      </c>
      <c r="Q74" s="51">
        <v>600000</v>
      </c>
      <c r="R74" s="52"/>
      <c r="S74" s="52"/>
      <c r="T74" s="44">
        <f t="shared" si="7"/>
        <v>9423000</v>
      </c>
      <c r="U74" s="51"/>
    </row>
    <row r="75" spans="1:21" s="53" customFormat="1" x14ac:dyDescent="0.25">
      <c r="A75" s="5">
        <v>70</v>
      </c>
      <c r="B75" s="46" t="s">
        <v>88</v>
      </c>
      <c r="C75" s="49">
        <v>27695107</v>
      </c>
      <c r="D75" s="50">
        <f>22784000+15254000</f>
        <v>38038000</v>
      </c>
      <c r="E75" s="19">
        <f t="shared" si="6"/>
        <v>65733107</v>
      </c>
      <c r="F75" s="51">
        <v>52000904</v>
      </c>
      <c r="G75" s="51">
        <v>10592919</v>
      </c>
      <c r="H75" s="51">
        <v>24809431</v>
      </c>
      <c r="I75" s="51"/>
      <c r="J75" s="51">
        <v>204590</v>
      </c>
      <c r="K75" s="21">
        <f t="shared" si="5"/>
        <v>87607844</v>
      </c>
      <c r="L75" s="49">
        <f>26500000+1230000</f>
        <v>27730000</v>
      </c>
      <c r="M75" s="50">
        <f>22784000+13181000</f>
        <v>35965000</v>
      </c>
      <c r="N75" s="19">
        <f t="shared" si="8"/>
        <v>63695000</v>
      </c>
      <c r="O75" s="51">
        <v>50697000</v>
      </c>
      <c r="P75" s="51">
        <v>9783000</v>
      </c>
      <c r="Q75" s="51">
        <v>24850000</v>
      </c>
      <c r="R75" s="52"/>
      <c r="S75" s="52"/>
      <c r="T75" s="44">
        <f t="shared" si="7"/>
        <v>85330000</v>
      </c>
      <c r="U75" s="51"/>
    </row>
    <row r="76" spans="1:21" s="53" customFormat="1" ht="30" x14ac:dyDescent="0.25">
      <c r="A76" s="5">
        <v>116</v>
      </c>
      <c r="B76" s="34" t="s">
        <v>144</v>
      </c>
      <c r="C76" s="22"/>
      <c r="D76" s="20"/>
      <c r="E76" s="19"/>
      <c r="F76" s="20"/>
      <c r="G76" s="20"/>
      <c r="H76" s="20"/>
      <c r="I76" s="20"/>
      <c r="J76" s="20"/>
      <c r="K76" s="21"/>
      <c r="L76" s="22"/>
      <c r="M76" s="20"/>
      <c r="N76" s="35"/>
      <c r="O76" s="20"/>
      <c r="P76" s="20"/>
      <c r="Q76" s="20"/>
      <c r="R76" s="20"/>
      <c r="S76" s="20">
        <v>300000</v>
      </c>
      <c r="T76" s="80">
        <f t="shared" ref="T76" si="9">SUM(O76:S76)</f>
        <v>300000</v>
      </c>
      <c r="U76" s="51"/>
    </row>
    <row r="77" spans="1:21" s="53" customFormat="1" x14ac:dyDescent="0.25">
      <c r="A77" s="5">
        <v>71</v>
      </c>
      <c r="B77" s="54" t="s">
        <v>112</v>
      </c>
      <c r="C77" s="49"/>
      <c r="D77" s="50"/>
      <c r="E77" s="19"/>
      <c r="F77" s="51"/>
      <c r="G77" s="51"/>
      <c r="H77" s="51"/>
      <c r="I77" s="51"/>
      <c r="J77" s="51"/>
      <c r="K77" s="21"/>
      <c r="L77" s="49"/>
      <c r="M77" s="50"/>
      <c r="N77" s="19"/>
      <c r="O77" s="51"/>
      <c r="P77" s="51"/>
      <c r="Q77" s="51">
        <v>2000000</v>
      </c>
      <c r="R77" s="52"/>
      <c r="S77" s="52"/>
      <c r="T77" s="44">
        <f t="shared" si="7"/>
        <v>2000000</v>
      </c>
      <c r="U77" s="51"/>
    </row>
    <row r="78" spans="1:21" s="53" customFormat="1" x14ac:dyDescent="0.25">
      <c r="A78" s="5">
        <v>72</v>
      </c>
      <c r="B78" s="17" t="s">
        <v>59</v>
      </c>
      <c r="C78" s="18">
        <f t="shared" ref="C78:T78" si="10">SUM(C5:C77)</f>
        <v>814751261</v>
      </c>
      <c r="D78" s="35">
        <f t="shared" si="10"/>
        <v>410634438</v>
      </c>
      <c r="E78" s="35">
        <f t="shared" si="10"/>
        <v>1150729095</v>
      </c>
      <c r="F78" s="35">
        <f t="shared" si="10"/>
        <v>347843234</v>
      </c>
      <c r="G78" s="35">
        <f t="shared" si="10"/>
        <v>61691270</v>
      </c>
      <c r="H78" s="35">
        <f t="shared" si="10"/>
        <v>207895443</v>
      </c>
      <c r="I78" s="35">
        <f t="shared" si="10"/>
        <v>12068695</v>
      </c>
      <c r="J78" s="35">
        <f t="shared" si="10"/>
        <v>7482357</v>
      </c>
      <c r="K78" s="21">
        <f t="shared" si="10"/>
        <v>636980999</v>
      </c>
      <c r="L78" s="18">
        <f t="shared" si="10"/>
        <v>933079688</v>
      </c>
      <c r="M78" s="35">
        <f t="shared" si="10"/>
        <v>412926470</v>
      </c>
      <c r="N78" s="35">
        <f>SUM(N5:N77)</f>
        <v>1346006158</v>
      </c>
      <c r="O78" s="35">
        <f t="shared" si="10"/>
        <v>347147730</v>
      </c>
      <c r="P78" s="35">
        <f t="shared" si="10"/>
        <v>62121588</v>
      </c>
      <c r="Q78" s="35">
        <f t="shared" si="10"/>
        <v>302957987</v>
      </c>
      <c r="R78" s="35">
        <f t="shared" si="10"/>
        <v>5300000</v>
      </c>
      <c r="S78" s="35">
        <f t="shared" si="10"/>
        <v>595901382</v>
      </c>
      <c r="T78" s="44">
        <f t="shared" si="10"/>
        <v>1313428687</v>
      </c>
      <c r="U78" s="51">
        <f>N78-T78</f>
        <v>32577471</v>
      </c>
    </row>
    <row r="79" spans="1:21" s="53" customFormat="1" x14ac:dyDescent="0.25">
      <c r="A79" s="5">
        <v>73</v>
      </c>
      <c r="B79" s="17"/>
      <c r="C79" s="18"/>
      <c r="D79" s="35"/>
      <c r="E79" s="35"/>
      <c r="F79" s="35"/>
      <c r="G79" s="35"/>
      <c r="H79" s="35"/>
      <c r="I79" s="35"/>
      <c r="J79" s="35"/>
      <c r="K79" s="21"/>
      <c r="L79" s="18"/>
      <c r="M79" s="35"/>
      <c r="N79" s="35"/>
      <c r="O79" s="35"/>
      <c r="P79" s="35"/>
      <c r="Q79" s="35"/>
      <c r="R79" s="35"/>
      <c r="S79" s="35"/>
      <c r="T79" s="44"/>
      <c r="U79" s="51"/>
    </row>
    <row r="80" spans="1:21" s="15" customFormat="1" ht="47.25" x14ac:dyDescent="0.25">
      <c r="A80" s="5">
        <v>74</v>
      </c>
      <c r="B80" s="70" t="s">
        <v>123</v>
      </c>
      <c r="C80" s="18"/>
      <c r="D80" s="35"/>
      <c r="E80" s="35"/>
      <c r="F80" s="35"/>
      <c r="G80" s="35"/>
      <c r="H80" s="35"/>
      <c r="I80" s="35"/>
      <c r="J80" s="35"/>
      <c r="K80" s="21"/>
      <c r="L80" s="18"/>
      <c r="M80" s="35"/>
      <c r="N80" s="35"/>
      <c r="O80" s="35"/>
      <c r="P80" s="35"/>
      <c r="Q80" s="35"/>
      <c r="R80" s="35"/>
      <c r="S80" s="35"/>
      <c r="T80" s="44"/>
      <c r="U80" s="82"/>
    </row>
    <row r="81" spans="1:21" ht="30" x14ac:dyDescent="0.25">
      <c r="A81" s="5">
        <v>75</v>
      </c>
      <c r="B81" s="56" t="s">
        <v>94</v>
      </c>
      <c r="C81" s="57"/>
      <c r="D81" s="58"/>
      <c r="E81" s="58"/>
      <c r="F81" s="58"/>
      <c r="G81" s="58"/>
      <c r="H81" s="58"/>
      <c r="I81" s="58"/>
      <c r="J81" s="58"/>
      <c r="K81" s="21"/>
      <c r="L81" s="57"/>
      <c r="M81" s="58"/>
      <c r="N81" s="58"/>
      <c r="O81" s="58"/>
      <c r="P81" s="58"/>
      <c r="Q81" s="58"/>
      <c r="R81" s="58"/>
      <c r="S81" s="58">
        <v>144280</v>
      </c>
      <c r="T81" s="44">
        <f>SUM(S81)</f>
        <v>144280</v>
      </c>
      <c r="U81" s="38"/>
    </row>
    <row r="82" spans="1:21" s="33" customFormat="1" x14ac:dyDescent="0.25">
      <c r="A82" s="5">
        <v>76</v>
      </c>
      <c r="B82" s="25" t="s">
        <v>27</v>
      </c>
      <c r="C82" s="22"/>
      <c r="D82" s="23"/>
      <c r="E82" s="19">
        <f>SUM(C82:D82)</f>
        <v>0</v>
      </c>
      <c r="F82" s="20"/>
      <c r="G82" s="20"/>
      <c r="H82" s="20"/>
      <c r="I82" s="20"/>
      <c r="J82" s="20"/>
      <c r="K82" s="21">
        <f>SUM(F82:J82)</f>
        <v>0</v>
      </c>
      <c r="L82" s="22"/>
      <c r="M82" s="23"/>
      <c r="N82" s="19">
        <f>SUM(L82:M82)</f>
        <v>0</v>
      </c>
      <c r="O82" s="20"/>
      <c r="P82" s="20"/>
      <c r="Q82" s="20"/>
      <c r="R82" s="24"/>
      <c r="S82" s="24">
        <v>1000000</v>
      </c>
      <c r="T82" s="44">
        <f>SUM(O82:S82)</f>
        <v>1000000</v>
      </c>
      <c r="U82" s="83"/>
    </row>
    <row r="83" spans="1:21" x14ac:dyDescent="0.25">
      <c r="A83" s="5">
        <v>77</v>
      </c>
      <c r="B83" s="25" t="s">
        <v>92</v>
      </c>
      <c r="C83" s="22"/>
      <c r="D83" s="23"/>
      <c r="E83" s="19"/>
      <c r="F83" s="20"/>
      <c r="G83" s="20"/>
      <c r="H83" s="20"/>
      <c r="I83" s="20">
        <v>555000</v>
      </c>
      <c r="J83" s="20"/>
      <c r="K83" s="21">
        <f>SUM(F83:J83)</f>
        <v>555000</v>
      </c>
      <c r="L83" s="22"/>
      <c r="M83" s="23"/>
      <c r="N83" s="19"/>
      <c r="O83" s="20"/>
      <c r="P83" s="20"/>
      <c r="Q83" s="20"/>
      <c r="R83" s="24">
        <v>670000</v>
      </c>
      <c r="S83" s="24"/>
      <c r="T83" s="44">
        <f>SUM(O83:S83)</f>
        <v>670000</v>
      </c>
      <c r="U83" s="38"/>
    </row>
    <row r="84" spans="1:21" ht="30" x14ac:dyDescent="0.25">
      <c r="A84" s="73">
        <v>114</v>
      </c>
      <c r="B84" s="86" t="s">
        <v>153</v>
      </c>
      <c r="C84" s="74"/>
      <c r="D84" s="72"/>
      <c r="E84" s="75"/>
      <c r="F84" s="72"/>
      <c r="G84" s="72"/>
      <c r="H84" s="72"/>
      <c r="I84" s="72"/>
      <c r="J84" s="72"/>
      <c r="K84" s="76"/>
      <c r="L84" s="74"/>
      <c r="M84" s="72"/>
      <c r="N84" s="77"/>
      <c r="O84" s="72"/>
      <c r="P84" s="72"/>
      <c r="Q84" s="72"/>
      <c r="R84" s="72"/>
      <c r="S84" s="72">
        <v>1440000</v>
      </c>
      <c r="T84" s="81">
        <f>SUM(O84:S84)</f>
        <v>1440000</v>
      </c>
      <c r="U84" s="38"/>
    </row>
    <row r="85" spans="1:21" ht="30" x14ac:dyDescent="0.25">
      <c r="A85" s="73">
        <v>113</v>
      </c>
      <c r="B85" s="86" t="s">
        <v>154</v>
      </c>
      <c r="C85" s="74"/>
      <c r="D85" s="72"/>
      <c r="E85" s="75"/>
      <c r="F85" s="72"/>
      <c r="G85" s="72"/>
      <c r="H85" s="72"/>
      <c r="I85" s="72"/>
      <c r="J85" s="72"/>
      <c r="K85" s="76"/>
      <c r="L85" s="74"/>
      <c r="M85" s="72"/>
      <c r="N85" s="77"/>
      <c r="O85" s="72"/>
      <c r="P85" s="72"/>
      <c r="Q85" s="72"/>
      <c r="R85" s="72"/>
      <c r="S85" s="72">
        <v>300000</v>
      </c>
      <c r="T85" s="81">
        <f>SUM(O85:S85)</f>
        <v>300000</v>
      </c>
      <c r="U85" s="38"/>
    </row>
    <row r="86" spans="1:21" ht="30" x14ac:dyDescent="0.25">
      <c r="A86" s="73">
        <v>78</v>
      </c>
      <c r="B86" s="91" t="s">
        <v>108</v>
      </c>
      <c r="C86" s="87"/>
      <c r="D86" s="88"/>
      <c r="E86" s="88"/>
      <c r="F86" s="88"/>
      <c r="G86" s="88"/>
      <c r="H86" s="88"/>
      <c r="I86" s="88"/>
      <c r="J86" s="88"/>
      <c r="K86" s="76"/>
      <c r="L86" s="87"/>
      <c r="M86" s="88"/>
      <c r="N86" s="88"/>
      <c r="O86" s="88"/>
      <c r="P86" s="88"/>
      <c r="Q86" s="88"/>
      <c r="R86" s="88"/>
      <c r="S86" s="88">
        <f>206000-206000</f>
        <v>0</v>
      </c>
      <c r="T86" s="89">
        <f t="shared" ref="T86:T89" si="11">SUM(O86:S86)</f>
        <v>0</v>
      </c>
      <c r="U86" s="20"/>
    </row>
    <row r="87" spans="1:21" x14ac:dyDescent="0.25">
      <c r="A87" s="73">
        <v>132</v>
      </c>
      <c r="B87" s="92" t="s">
        <v>126</v>
      </c>
      <c r="C87" s="74"/>
      <c r="D87" s="72"/>
      <c r="E87" s="75">
        <f>SUM(C87:D87)</f>
        <v>0</v>
      </c>
      <c r="F87" s="72"/>
      <c r="G87" s="72"/>
      <c r="H87" s="72"/>
      <c r="I87" s="72"/>
      <c r="J87" s="72"/>
      <c r="K87" s="76">
        <f>SUM(F87:J87)</f>
        <v>0</v>
      </c>
      <c r="L87" s="74">
        <v>3517940</v>
      </c>
      <c r="M87" s="72"/>
      <c r="N87" s="77">
        <f>SUM(L87:M87)</f>
        <v>3517940</v>
      </c>
      <c r="O87" s="72"/>
      <c r="P87" s="72"/>
      <c r="Q87" s="72">
        <v>3517940</v>
      </c>
      <c r="R87" s="72"/>
      <c r="S87" s="72"/>
      <c r="T87" s="81">
        <f>SUM(O87:S87)</f>
        <v>3517940</v>
      </c>
      <c r="U87" s="38"/>
    </row>
    <row r="88" spans="1:21" x14ac:dyDescent="0.25">
      <c r="A88" s="73">
        <v>97</v>
      </c>
      <c r="B88" s="86" t="s">
        <v>89</v>
      </c>
      <c r="C88" s="74"/>
      <c r="D88" s="72"/>
      <c r="E88" s="75"/>
      <c r="F88" s="72"/>
      <c r="G88" s="72"/>
      <c r="H88" s="72"/>
      <c r="I88" s="72"/>
      <c r="J88" s="72"/>
      <c r="K88" s="76"/>
      <c r="L88" s="74"/>
      <c r="M88" s="72"/>
      <c r="N88" s="77"/>
      <c r="O88" s="72"/>
      <c r="P88" s="72"/>
      <c r="Q88" s="72">
        <f>20000000-10000000</f>
        <v>10000000</v>
      </c>
      <c r="R88" s="72"/>
      <c r="S88" s="72"/>
      <c r="T88" s="81">
        <f>SUM(O88:S88)</f>
        <v>10000000</v>
      </c>
      <c r="U88" s="38"/>
    </row>
    <row r="89" spans="1:21" x14ac:dyDescent="0.25">
      <c r="A89" s="5">
        <v>79</v>
      </c>
      <c r="B89" s="56" t="s">
        <v>109</v>
      </c>
      <c r="C89" s="57"/>
      <c r="D89" s="58"/>
      <c r="E89" s="58"/>
      <c r="F89" s="58"/>
      <c r="G89" s="58"/>
      <c r="H89" s="58"/>
      <c r="I89" s="58"/>
      <c r="J89" s="58"/>
      <c r="K89" s="21"/>
      <c r="L89" s="57"/>
      <c r="M89" s="58"/>
      <c r="N89" s="58"/>
      <c r="O89" s="58"/>
      <c r="P89" s="58"/>
      <c r="Q89" s="58"/>
      <c r="R89" s="58"/>
      <c r="S89" s="58">
        <v>500000</v>
      </c>
      <c r="T89" s="44">
        <f t="shared" si="11"/>
        <v>500000</v>
      </c>
      <c r="U89" s="38"/>
    </row>
    <row r="90" spans="1:21" ht="63" x14ac:dyDescent="0.25">
      <c r="A90" s="5">
        <v>80</v>
      </c>
      <c r="B90" s="70" t="s">
        <v>146</v>
      </c>
      <c r="C90" s="18"/>
      <c r="D90" s="35"/>
      <c r="E90" s="35"/>
      <c r="F90" s="35"/>
      <c r="G90" s="35"/>
      <c r="H90" s="35"/>
      <c r="I90" s="35">
        <f t="shared" ref="I90:T90" si="12">SUM(I81:I89)</f>
        <v>555000</v>
      </c>
      <c r="J90" s="35">
        <f t="shared" si="12"/>
        <v>0</v>
      </c>
      <c r="K90" s="21">
        <f t="shared" si="12"/>
        <v>555000</v>
      </c>
      <c r="L90" s="18">
        <f t="shared" si="12"/>
        <v>3517940</v>
      </c>
      <c r="M90" s="35">
        <f t="shared" si="12"/>
        <v>0</v>
      </c>
      <c r="N90" s="35">
        <f t="shared" si="12"/>
        <v>3517940</v>
      </c>
      <c r="O90" s="35">
        <f t="shared" si="12"/>
        <v>0</v>
      </c>
      <c r="P90" s="35">
        <f t="shared" si="12"/>
        <v>0</v>
      </c>
      <c r="Q90" s="35">
        <f t="shared" si="12"/>
        <v>13517940</v>
      </c>
      <c r="R90" s="35">
        <f t="shared" si="12"/>
        <v>670000</v>
      </c>
      <c r="S90" s="35">
        <f t="shared" si="12"/>
        <v>3384280</v>
      </c>
      <c r="T90" s="44">
        <f t="shared" si="12"/>
        <v>17572220</v>
      </c>
      <c r="U90" s="38"/>
    </row>
    <row r="91" spans="1:21" x14ac:dyDescent="0.25">
      <c r="A91" s="5">
        <v>81</v>
      </c>
      <c r="B91" s="17"/>
      <c r="C91" s="18"/>
      <c r="D91" s="35"/>
      <c r="E91" s="35"/>
      <c r="F91" s="35"/>
      <c r="G91" s="35"/>
      <c r="H91" s="35"/>
      <c r="I91" s="35"/>
      <c r="J91" s="35"/>
      <c r="K91" s="21"/>
      <c r="L91" s="18"/>
      <c r="M91" s="35"/>
      <c r="N91" s="35"/>
      <c r="O91" s="35"/>
      <c r="P91" s="35"/>
      <c r="Q91" s="35"/>
      <c r="R91" s="35"/>
      <c r="S91" s="35"/>
      <c r="T91" s="44"/>
      <c r="U91" s="20"/>
    </row>
    <row r="92" spans="1:21" x14ac:dyDescent="0.25">
      <c r="A92" s="5">
        <v>82</v>
      </c>
      <c r="B92" s="17" t="s">
        <v>125</v>
      </c>
      <c r="C92" s="22"/>
      <c r="D92" s="20"/>
      <c r="E92" s="35"/>
      <c r="F92" s="20"/>
      <c r="G92" s="20"/>
      <c r="H92" s="20"/>
      <c r="I92" s="20"/>
      <c r="J92" s="20"/>
      <c r="K92" s="21"/>
      <c r="L92" s="22"/>
      <c r="M92" s="20"/>
      <c r="N92" s="35"/>
      <c r="O92" s="20"/>
      <c r="P92" s="20"/>
      <c r="Q92" s="20"/>
      <c r="R92" s="20"/>
      <c r="S92" s="20"/>
      <c r="T92" s="44"/>
      <c r="U92" s="20"/>
    </row>
    <row r="93" spans="1:21" x14ac:dyDescent="0.25">
      <c r="A93" s="5">
        <v>83</v>
      </c>
      <c r="B93" s="55" t="s">
        <v>64</v>
      </c>
      <c r="C93" s="30">
        <v>103000</v>
      </c>
      <c r="D93" s="29"/>
      <c r="E93" s="35">
        <f>SUM(C93:D93)</f>
        <v>103000</v>
      </c>
      <c r="F93" s="29"/>
      <c r="G93" s="29"/>
      <c r="H93" s="29"/>
      <c r="I93" s="29"/>
      <c r="J93" s="29"/>
      <c r="K93" s="21">
        <f>SUM(F93:J93)</f>
        <v>0</v>
      </c>
      <c r="L93" s="30">
        <v>100000</v>
      </c>
      <c r="M93" s="29"/>
      <c r="N93" s="35">
        <f>SUM(L93:M93)</f>
        <v>100000</v>
      </c>
      <c r="O93" s="29"/>
      <c r="P93" s="29"/>
      <c r="Q93" s="29"/>
      <c r="R93" s="29"/>
      <c r="S93" s="29"/>
      <c r="T93" s="44">
        <v>0</v>
      </c>
      <c r="U93" s="20"/>
    </row>
    <row r="94" spans="1:21" x14ac:dyDescent="0.25">
      <c r="A94" s="96">
        <v>84</v>
      </c>
      <c r="B94" s="97" t="s">
        <v>61</v>
      </c>
      <c r="C94" s="98"/>
      <c r="D94" s="99"/>
      <c r="E94" s="100">
        <f t="shared" ref="E94:E102" si="13">SUM(C94:D94)</f>
        <v>0</v>
      </c>
      <c r="F94" s="99">
        <v>320418</v>
      </c>
      <c r="G94" s="99"/>
      <c r="H94" s="99">
        <f>494507+240000</f>
        <v>734507</v>
      </c>
      <c r="I94" s="99"/>
      <c r="J94" s="99"/>
      <c r="K94" s="101">
        <f t="shared" ref="K94:K102" si="14">SUM(F94:J94)</f>
        <v>1054925</v>
      </c>
      <c r="L94" s="98"/>
      <c r="M94" s="99"/>
      <c r="N94" s="100">
        <f t="shared" ref="N94:N102" si="15">SUM(L94:M94)</f>
        <v>0</v>
      </c>
      <c r="O94" s="99">
        <v>350000</v>
      </c>
      <c r="P94" s="99"/>
      <c r="Q94" s="99">
        <f>650000+35000</f>
        <v>685000</v>
      </c>
      <c r="R94" s="99"/>
      <c r="S94" s="99"/>
      <c r="T94" s="102">
        <f>SUM(O94:S94)</f>
        <v>1035000</v>
      </c>
      <c r="U94" s="20"/>
    </row>
    <row r="95" spans="1:21" x14ac:dyDescent="0.25">
      <c r="A95" s="96">
        <v>85</v>
      </c>
      <c r="B95" s="97" t="s">
        <v>62</v>
      </c>
      <c r="C95" s="98"/>
      <c r="D95" s="99"/>
      <c r="E95" s="100">
        <f t="shared" si="13"/>
        <v>0</v>
      </c>
      <c r="F95" s="99">
        <v>150000</v>
      </c>
      <c r="G95" s="99"/>
      <c r="H95" s="99">
        <v>4480000</v>
      </c>
      <c r="I95" s="99"/>
      <c r="J95" s="99"/>
      <c r="K95" s="101">
        <f t="shared" si="14"/>
        <v>4630000</v>
      </c>
      <c r="L95" s="98"/>
      <c r="M95" s="99"/>
      <c r="N95" s="100">
        <f t="shared" si="15"/>
        <v>0</v>
      </c>
      <c r="O95" s="99"/>
      <c r="P95" s="99"/>
      <c r="Q95" s="99">
        <v>4000000</v>
      </c>
      <c r="R95" s="99"/>
      <c r="S95" s="99"/>
      <c r="T95" s="102">
        <f t="shared" ref="T95:T102" si="16">SUM(O95:S95)</f>
        <v>4000000</v>
      </c>
      <c r="U95" s="20"/>
    </row>
    <row r="96" spans="1:21" x14ac:dyDescent="0.25">
      <c r="A96" s="96">
        <v>86</v>
      </c>
      <c r="B96" s="97" t="s">
        <v>35</v>
      </c>
      <c r="C96" s="98"/>
      <c r="D96" s="103"/>
      <c r="E96" s="104">
        <f>SUM(C96:D96)</f>
        <v>0</v>
      </c>
      <c r="F96" s="99"/>
      <c r="G96" s="99"/>
      <c r="H96" s="99">
        <v>1380000</v>
      </c>
      <c r="I96" s="99"/>
      <c r="J96" s="99">
        <v>453000</v>
      </c>
      <c r="K96" s="101">
        <f>SUM(F96:J96)</f>
        <v>1833000</v>
      </c>
      <c r="L96" s="98"/>
      <c r="M96" s="103"/>
      <c r="N96" s="104">
        <f>SUM(L96:M96)</f>
        <v>0</v>
      </c>
      <c r="O96" s="99"/>
      <c r="P96" s="99"/>
      <c r="Q96" s="99">
        <v>1680000</v>
      </c>
      <c r="R96" s="105"/>
      <c r="S96" s="105"/>
      <c r="T96" s="102">
        <f>SUM(O96:S96)</f>
        <v>1680000</v>
      </c>
      <c r="U96" s="38"/>
    </row>
    <row r="97" spans="1:21" x14ac:dyDescent="0.25">
      <c r="A97" s="96">
        <v>87</v>
      </c>
      <c r="B97" s="97" t="s">
        <v>63</v>
      </c>
      <c r="C97" s="98"/>
      <c r="D97" s="99"/>
      <c r="E97" s="100">
        <f t="shared" si="13"/>
        <v>0</v>
      </c>
      <c r="F97" s="99"/>
      <c r="G97" s="99"/>
      <c r="H97" s="99">
        <v>90744</v>
      </c>
      <c r="I97" s="99"/>
      <c r="J97" s="99"/>
      <c r="K97" s="101">
        <f t="shared" si="14"/>
        <v>90744</v>
      </c>
      <c r="L97" s="98"/>
      <c r="M97" s="99"/>
      <c r="N97" s="100">
        <f t="shared" si="15"/>
        <v>0</v>
      </c>
      <c r="O97" s="99"/>
      <c r="P97" s="99"/>
      <c r="Q97" s="99">
        <v>100000</v>
      </c>
      <c r="R97" s="99"/>
      <c r="S97" s="99"/>
      <c r="T97" s="102">
        <f t="shared" si="16"/>
        <v>100000</v>
      </c>
      <c r="U97" s="38"/>
    </row>
    <row r="98" spans="1:21" x14ac:dyDescent="0.25">
      <c r="A98" s="96">
        <v>88</v>
      </c>
      <c r="B98" s="97" t="s">
        <v>65</v>
      </c>
      <c r="C98" s="98">
        <v>956119</v>
      </c>
      <c r="D98" s="99"/>
      <c r="E98" s="100">
        <f t="shared" si="13"/>
        <v>956119</v>
      </c>
      <c r="F98" s="99"/>
      <c r="G98" s="99"/>
      <c r="H98" s="99">
        <v>956119</v>
      </c>
      <c r="I98" s="99"/>
      <c r="J98" s="99"/>
      <c r="K98" s="101">
        <f t="shared" si="14"/>
        <v>956119</v>
      </c>
      <c r="L98" s="98">
        <v>956000</v>
      </c>
      <c r="M98" s="99"/>
      <c r="N98" s="100">
        <f t="shared" si="15"/>
        <v>956000</v>
      </c>
      <c r="O98" s="99"/>
      <c r="P98" s="99"/>
      <c r="Q98" s="99">
        <v>956000</v>
      </c>
      <c r="R98" s="99"/>
      <c r="S98" s="99"/>
      <c r="T98" s="102">
        <f t="shared" si="16"/>
        <v>956000</v>
      </c>
      <c r="U98" s="38"/>
    </row>
    <row r="99" spans="1:21" x14ac:dyDescent="0.25">
      <c r="A99" s="96">
        <v>89</v>
      </c>
      <c r="B99" s="97" t="s">
        <v>66</v>
      </c>
      <c r="C99" s="98"/>
      <c r="D99" s="99"/>
      <c r="E99" s="100">
        <f t="shared" si="13"/>
        <v>0</v>
      </c>
      <c r="F99" s="99"/>
      <c r="G99" s="99"/>
      <c r="H99" s="99"/>
      <c r="I99" s="99"/>
      <c r="J99" s="99"/>
      <c r="K99" s="101">
        <f t="shared" si="14"/>
        <v>0</v>
      </c>
      <c r="L99" s="98"/>
      <c r="M99" s="99"/>
      <c r="N99" s="100">
        <f t="shared" si="15"/>
        <v>0</v>
      </c>
      <c r="O99" s="99"/>
      <c r="P99" s="99"/>
      <c r="Q99" s="99">
        <v>1000000</v>
      </c>
      <c r="R99" s="99"/>
      <c r="S99" s="99"/>
      <c r="T99" s="102">
        <f t="shared" si="16"/>
        <v>1000000</v>
      </c>
      <c r="U99" s="38"/>
    </row>
    <row r="100" spans="1:21" s="15" customFormat="1" x14ac:dyDescent="0.25">
      <c r="A100" s="109">
        <v>90</v>
      </c>
      <c r="B100" s="110" t="s">
        <v>75</v>
      </c>
      <c r="C100" s="111">
        <v>347500</v>
      </c>
      <c r="D100" s="112"/>
      <c r="E100" s="113">
        <f t="shared" si="13"/>
        <v>347500</v>
      </c>
      <c r="F100" s="112">
        <v>891736</v>
      </c>
      <c r="G100" s="112">
        <v>391948</v>
      </c>
      <c r="H100" s="112">
        <v>708872</v>
      </c>
      <c r="I100" s="112"/>
      <c r="J100" s="112"/>
      <c r="K100" s="114">
        <f t="shared" si="14"/>
        <v>1992556</v>
      </c>
      <c r="L100" s="111">
        <v>348000</v>
      </c>
      <c r="M100" s="112"/>
      <c r="N100" s="113">
        <f t="shared" si="15"/>
        <v>348000</v>
      </c>
      <c r="O100" s="112">
        <v>1000000</v>
      </c>
      <c r="P100" s="112">
        <v>450000</v>
      </c>
      <c r="Q100" s="112">
        <v>1550000</v>
      </c>
      <c r="R100" s="112"/>
      <c r="S100" s="112"/>
      <c r="T100" s="115">
        <f t="shared" si="16"/>
        <v>3000000</v>
      </c>
      <c r="U100" s="82"/>
    </row>
    <row r="101" spans="1:21" x14ac:dyDescent="0.25">
      <c r="A101" s="109">
        <v>91</v>
      </c>
      <c r="B101" s="110" t="s">
        <v>76</v>
      </c>
      <c r="C101" s="111">
        <v>2797000</v>
      </c>
      <c r="D101" s="112"/>
      <c r="E101" s="113">
        <f t="shared" si="13"/>
        <v>2797000</v>
      </c>
      <c r="F101" s="112">
        <v>104755</v>
      </c>
      <c r="G101" s="112">
        <v>56474</v>
      </c>
      <c r="H101" s="112">
        <v>10122114</v>
      </c>
      <c r="I101" s="112">
        <v>63500</v>
      </c>
      <c r="J101" s="112"/>
      <c r="K101" s="114">
        <f t="shared" si="14"/>
        <v>10346843</v>
      </c>
      <c r="L101" s="111">
        <v>2540000</v>
      </c>
      <c r="M101" s="112">
        <v>258000</v>
      </c>
      <c r="N101" s="113">
        <f t="shared" si="15"/>
        <v>2798000</v>
      </c>
      <c r="O101" s="112">
        <v>500000</v>
      </c>
      <c r="P101" s="112">
        <v>180000</v>
      </c>
      <c r="Q101" s="112">
        <f>19320000-3000000</f>
        <v>16320000</v>
      </c>
      <c r="R101" s="112"/>
      <c r="S101" s="112"/>
      <c r="T101" s="115">
        <f t="shared" si="16"/>
        <v>17000000</v>
      </c>
      <c r="U101" s="38"/>
    </row>
    <row r="102" spans="1:21" x14ac:dyDescent="0.25">
      <c r="A102" s="109">
        <v>92</v>
      </c>
      <c r="B102" s="110" t="s">
        <v>77</v>
      </c>
      <c r="C102" s="111"/>
      <c r="D102" s="112"/>
      <c r="E102" s="113">
        <f t="shared" si="13"/>
        <v>0</v>
      </c>
      <c r="F102" s="112">
        <v>21211</v>
      </c>
      <c r="G102" s="112"/>
      <c r="H102" s="112">
        <v>210544</v>
      </c>
      <c r="I102" s="112"/>
      <c r="J102" s="112"/>
      <c r="K102" s="114">
        <f t="shared" si="14"/>
        <v>231755</v>
      </c>
      <c r="L102" s="111"/>
      <c r="M102" s="112"/>
      <c r="N102" s="113">
        <f t="shared" si="15"/>
        <v>0</v>
      </c>
      <c r="O102" s="112">
        <v>500000</v>
      </c>
      <c r="P102" s="112"/>
      <c r="Q102" s="112">
        <v>500000</v>
      </c>
      <c r="R102" s="112"/>
      <c r="S102" s="112"/>
      <c r="T102" s="115">
        <f t="shared" si="16"/>
        <v>1000000</v>
      </c>
      <c r="U102" s="38"/>
    </row>
    <row r="103" spans="1:21" x14ac:dyDescent="0.25">
      <c r="A103" s="109">
        <v>93</v>
      </c>
      <c r="B103" s="116" t="s">
        <v>74</v>
      </c>
      <c r="C103" s="117"/>
      <c r="D103" s="118"/>
      <c r="E103" s="119">
        <f>SUM(C103:D103)</f>
        <v>0</v>
      </c>
      <c r="F103" s="120"/>
      <c r="G103" s="120"/>
      <c r="H103" s="120">
        <v>66802</v>
      </c>
      <c r="I103" s="120"/>
      <c r="J103" s="120"/>
      <c r="K103" s="114">
        <f>SUM(F103:J103)</f>
        <v>66802</v>
      </c>
      <c r="L103" s="117"/>
      <c r="M103" s="118"/>
      <c r="N103" s="119">
        <f>SUM(L103:M103)</f>
        <v>0</v>
      </c>
      <c r="O103" s="120"/>
      <c r="P103" s="120"/>
      <c r="Q103" s="120">
        <v>70000</v>
      </c>
      <c r="R103" s="121"/>
      <c r="S103" s="121"/>
      <c r="T103" s="115">
        <f>SUM(O103:S103)</f>
        <v>70000</v>
      </c>
      <c r="U103" s="38"/>
    </row>
    <row r="104" spans="1:21" x14ac:dyDescent="0.25">
      <c r="A104" s="109">
        <v>94</v>
      </c>
      <c r="B104" s="116" t="s">
        <v>72</v>
      </c>
      <c r="C104" s="117">
        <v>22500</v>
      </c>
      <c r="D104" s="118"/>
      <c r="E104" s="119">
        <f>SUM(C104:D104)</f>
        <v>22500</v>
      </c>
      <c r="F104" s="120"/>
      <c r="G104" s="120"/>
      <c r="H104" s="120">
        <v>1051848</v>
      </c>
      <c r="I104" s="120"/>
      <c r="J104" s="120"/>
      <c r="K104" s="114">
        <f>SUM(F104:J104)</f>
        <v>1051848</v>
      </c>
      <c r="L104" s="117">
        <v>23000</v>
      </c>
      <c r="M104" s="118"/>
      <c r="N104" s="119">
        <f>SUM(L104:M104)</f>
        <v>23000</v>
      </c>
      <c r="O104" s="120"/>
      <c r="P104" s="120"/>
      <c r="Q104" s="120">
        <v>1100000</v>
      </c>
      <c r="R104" s="121"/>
      <c r="S104" s="121"/>
      <c r="T104" s="115">
        <f>SUM(O104:S104)</f>
        <v>1100000</v>
      </c>
      <c r="U104" s="38"/>
    </row>
    <row r="105" spans="1:21" x14ac:dyDescent="0.25">
      <c r="A105" s="96">
        <v>95</v>
      </c>
      <c r="B105" s="97" t="s">
        <v>134</v>
      </c>
      <c r="C105" s="98"/>
      <c r="D105" s="99"/>
      <c r="E105" s="104">
        <f>SUM(C105:D105)</f>
        <v>0</v>
      </c>
      <c r="F105" s="99"/>
      <c r="G105" s="99"/>
      <c r="H105" s="99">
        <v>5532485</v>
      </c>
      <c r="I105" s="99"/>
      <c r="J105" s="99"/>
      <c r="K105" s="101">
        <f>SUM(F105:J105)</f>
        <v>5532485</v>
      </c>
      <c r="L105" s="98"/>
      <c r="M105" s="99"/>
      <c r="N105" s="100">
        <f>SUM(L105:M105)</f>
        <v>0</v>
      </c>
      <c r="O105" s="99"/>
      <c r="P105" s="99"/>
      <c r="Q105" s="99">
        <v>900000</v>
      </c>
      <c r="R105" s="99"/>
      <c r="S105" s="99"/>
      <c r="T105" s="106">
        <f>SUM(O105:S105)</f>
        <v>900000</v>
      </c>
      <c r="U105" s="38"/>
    </row>
    <row r="106" spans="1:21" x14ac:dyDescent="0.25">
      <c r="A106" s="96">
        <v>96</v>
      </c>
      <c r="B106" s="97" t="s">
        <v>135</v>
      </c>
      <c r="C106" s="98"/>
      <c r="D106" s="99"/>
      <c r="E106" s="104"/>
      <c r="F106" s="99"/>
      <c r="G106" s="99"/>
      <c r="H106" s="99"/>
      <c r="I106" s="99"/>
      <c r="J106" s="99"/>
      <c r="K106" s="101"/>
      <c r="L106" s="98"/>
      <c r="M106" s="99"/>
      <c r="N106" s="100"/>
      <c r="O106" s="99"/>
      <c r="P106" s="99"/>
      <c r="Q106" s="99">
        <v>6600000</v>
      </c>
      <c r="R106" s="99"/>
      <c r="S106" s="99"/>
      <c r="T106" s="106">
        <f>SUM(O106:S106)</f>
        <v>6600000</v>
      </c>
      <c r="U106" s="38"/>
    </row>
    <row r="107" spans="1:21" ht="30" x14ac:dyDescent="0.25">
      <c r="A107" s="96">
        <v>98</v>
      </c>
      <c r="B107" s="107" t="s">
        <v>93</v>
      </c>
      <c r="C107" s="98"/>
      <c r="D107" s="99"/>
      <c r="E107" s="104"/>
      <c r="F107" s="99"/>
      <c r="G107" s="99"/>
      <c r="H107" s="99"/>
      <c r="I107" s="99"/>
      <c r="J107" s="99"/>
      <c r="K107" s="101"/>
      <c r="L107" s="98"/>
      <c r="M107" s="99"/>
      <c r="N107" s="100"/>
      <c r="O107" s="99"/>
      <c r="P107" s="99"/>
      <c r="Q107" s="99"/>
      <c r="R107" s="99"/>
      <c r="S107" s="99">
        <v>50000</v>
      </c>
      <c r="T107" s="106">
        <f t="shared" ref="T107" si="17">SUM(O107:S107)</f>
        <v>50000</v>
      </c>
      <c r="U107" s="38"/>
    </row>
    <row r="108" spans="1:21" ht="30" x14ac:dyDescent="0.25">
      <c r="A108" s="73">
        <v>99</v>
      </c>
      <c r="B108" s="86" t="s">
        <v>23</v>
      </c>
      <c r="C108" s="74"/>
      <c r="D108" s="93"/>
      <c r="E108" s="75">
        <f>SUM(C108:D108)</f>
        <v>0</v>
      </c>
      <c r="F108" s="72"/>
      <c r="G108" s="72"/>
      <c r="H108" s="72"/>
      <c r="I108" s="72"/>
      <c r="J108" s="72"/>
      <c r="K108" s="76">
        <f>SUM(F108:J108)</f>
        <v>0</v>
      </c>
      <c r="L108" s="74"/>
      <c r="M108" s="93"/>
      <c r="N108" s="75">
        <f>SUM(L108:M108)</f>
        <v>0</v>
      </c>
      <c r="O108" s="72"/>
      <c r="P108" s="72"/>
      <c r="Q108" s="72"/>
      <c r="R108" s="94"/>
      <c r="S108" s="94">
        <f>5200000-5200000</f>
        <v>0</v>
      </c>
      <c r="T108" s="89">
        <f t="shared" ref="T108:T135" si="18">SUM(O108:S108)</f>
        <v>0</v>
      </c>
      <c r="U108" s="38"/>
    </row>
    <row r="109" spans="1:21" x14ac:dyDescent="0.25">
      <c r="A109" s="73">
        <v>100</v>
      </c>
      <c r="B109" s="92" t="s">
        <v>24</v>
      </c>
      <c r="C109" s="74"/>
      <c r="D109" s="93"/>
      <c r="E109" s="75">
        <f>SUM(C109:D109)</f>
        <v>0</v>
      </c>
      <c r="F109" s="72"/>
      <c r="G109" s="72"/>
      <c r="H109" s="72"/>
      <c r="I109" s="72"/>
      <c r="J109" s="72"/>
      <c r="K109" s="76">
        <f>SUM(F109:J109)</f>
        <v>0</v>
      </c>
      <c r="L109" s="74"/>
      <c r="M109" s="93"/>
      <c r="N109" s="75">
        <f>SUM(L109:M109)</f>
        <v>0</v>
      </c>
      <c r="O109" s="72"/>
      <c r="P109" s="72"/>
      <c r="Q109" s="72"/>
      <c r="R109" s="94"/>
      <c r="S109" s="94">
        <f>1300000-1300000</f>
        <v>0</v>
      </c>
      <c r="T109" s="89">
        <f t="shared" si="18"/>
        <v>0</v>
      </c>
      <c r="U109" s="38"/>
    </row>
    <row r="110" spans="1:21" x14ac:dyDescent="0.25">
      <c r="A110" s="73">
        <v>101</v>
      </c>
      <c r="B110" s="92" t="s">
        <v>25</v>
      </c>
      <c r="C110" s="74"/>
      <c r="D110" s="93"/>
      <c r="E110" s="75">
        <f>SUM(C110:D110)</f>
        <v>0</v>
      </c>
      <c r="F110" s="72"/>
      <c r="G110" s="72"/>
      <c r="H110" s="72"/>
      <c r="I110" s="72"/>
      <c r="J110" s="72"/>
      <c r="K110" s="76">
        <f>SUM(F110:J110)</f>
        <v>0</v>
      </c>
      <c r="L110" s="74"/>
      <c r="M110" s="93"/>
      <c r="N110" s="75">
        <f>SUM(L110:M110)</f>
        <v>0</v>
      </c>
      <c r="O110" s="72"/>
      <c r="P110" s="72"/>
      <c r="Q110" s="72"/>
      <c r="R110" s="94"/>
      <c r="S110" s="94">
        <f>1236000-1236000</f>
        <v>0</v>
      </c>
      <c r="T110" s="89">
        <f t="shared" si="18"/>
        <v>0</v>
      </c>
      <c r="U110" s="38"/>
    </row>
    <row r="111" spans="1:21" ht="17.25" x14ac:dyDescent="0.25">
      <c r="A111" s="96">
        <v>102</v>
      </c>
      <c r="B111" s="97" t="s">
        <v>26</v>
      </c>
      <c r="C111" s="98"/>
      <c r="D111" s="103"/>
      <c r="E111" s="104">
        <f>SUM(C111:D111)</f>
        <v>0</v>
      </c>
      <c r="F111" s="99"/>
      <c r="G111" s="99"/>
      <c r="H111" s="99"/>
      <c r="I111" s="99"/>
      <c r="J111" s="99"/>
      <c r="K111" s="101">
        <f>SUM(F111:J111)</f>
        <v>0</v>
      </c>
      <c r="L111" s="98"/>
      <c r="M111" s="103"/>
      <c r="N111" s="104">
        <f>SUM(L111:M111)</f>
        <v>0</v>
      </c>
      <c r="O111" s="99"/>
      <c r="P111" s="99"/>
      <c r="Q111" s="99"/>
      <c r="R111" s="105"/>
      <c r="S111" s="105">
        <v>1307000</v>
      </c>
      <c r="T111" s="102">
        <f t="shared" si="18"/>
        <v>1307000</v>
      </c>
      <c r="U111" s="38"/>
    </row>
    <row r="112" spans="1:21" x14ac:dyDescent="0.25">
      <c r="A112" s="96">
        <v>103</v>
      </c>
      <c r="B112" s="97" t="s">
        <v>90</v>
      </c>
      <c r="C112" s="98"/>
      <c r="D112" s="103"/>
      <c r="E112" s="104"/>
      <c r="F112" s="99"/>
      <c r="G112" s="99"/>
      <c r="H112" s="99"/>
      <c r="I112" s="99"/>
      <c r="J112" s="99"/>
      <c r="K112" s="101"/>
      <c r="L112" s="98"/>
      <c r="M112" s="103"/>
      <c r="N112" s="104"/>
      <c r="O112" s="99"/>
      <c r="P112" s="99"/>
      <c r="Q112" s="99"/>
      <c r="R112" s="105"/>
      <c r="S112" s="105">
        <v>570000</v>
      </c>
      <c r="T112" s="102">
        <f t="shared" si="18"/>
        <v>570000</v>
      </c>
      <c r="U112" s="38"/>
    </row>
    <row r="113" spans="1:21" ht="45" x14ac:dyDescent="0.25">
      <c r="A113" s="96">
        <v>104</v>
      </c>
      <c r="B113" s="108" t="s">
        <v>141</v>
      </c>
      <c r="C113" s="98"/>
      <c r="D113" s="99"/>
      <c r="E113" s="104"/>
      <c r="F113" s="99"/>
      <c r="G113" s="99"/>
      <c r="H113" s="99"/>
      <c r="I113" s="99"/>
      <c r="J113" s="99"/>
      <c r="K113" s="101"/>
      <c r="L113" s="98"/>
      <c r="M113" s="99"/>
      <c r="N113" s="100"/>
      <c r="O113" s="99"/>
      <c r="P113" s="99"/>
      <c r="Q113" s="99"/>
      <c r="R113" s="99"/>
      <c r="S113" s="99">
        <v>200000</v>
      </c>
      <c r="T113" s="106">
        <f t="shared" si="18"/>
        <v>200000</v>
      </c>
      <c r="U113" s="38"/>
    </row>
    <row r="114" spans="1:21" ht="30" x14ac:dyDescent="0.25">
      <c r="A114" s="73">
        <v>105</v>
      </c>
      <c r="B114" s="95" t="s">
        <v>142</v>
      </c>
      <c r="C114" s="74"/>
      <c r="D114" s="72"/>
      <c r="E114" s="75"/>
      <c r="F114" s="72"/>
      <c r="G114" s="72"/>
      <c r="H114" s="72"/>
      <c r="I114" s="72"/>
      <c r="J114" s="72"/>
      <c r="K114" s="76"/>
      <c r="L114" s="74"/>
      <c r="M114" s="72"/>
      <c r="N114" s="77"/>
      <c r="O114" s="72"/>
      <c r="P114" s="72"/>
      <c r="Q114" s="72"/>
      <c r="R114" s="72"/>
      <c r="S114" s="72">
        <f>1120000-1120000</f>
        <v>0</v>
      </c>
      <c r="T114" s="81">
        <f t="shared" si="18"/>
        <v>0</v>
      </c>
      <c r="U114" s="38"/>
    </row>
    <row r="115" spans="1:21" ht="30" x14ac:dyDescent="0.25">
      <c r="A115" s="122">
        <v>106</v>
      </c>
      <c r="B115" s="123" t="s">
        <v>95</v>
      </c>
      <c r="C115" s="124"/>
      <c r="D115" s="125"/>
      <c r="E115" s="126"/>
      <c r="F115" s="125"/>
      <c r="G115" s="125"/>
      <c r="H115" s="125"/>
      <c r="I115" s="125"/>
      <c r="J115" s="125"/>
      <c r="K115" s="127"/>
      <c r="L115" s="124"/>
      <c r="M115" s="125"/>
      <c r="N115" s="128"/>
      <c r="O115" s="125"/>
      <c r="P115" s="125"/>
      <c r="Q115" s="125"/>
      <c r="R115" s="125"/>
      <c r="S115" s="125">
        <v>138000</v>
      </c>
      <c r="T115" s="129">
        <f t="shared" si="18"/>
        <v>138000</v>
      </c>
      <c r="U115" s="38"/>
    </row>
    <row r="116" spans="1:21" x14ac:dyDescent="0.25">
      <c r="A116" s="122">
        <v>107</v>
      </c>
      <c r="B116" s="123" t="s">
        <v>96</v>
      </c>
      <c r="C116" s="124"/>
      <c r="D116" s="125"/>
      <c r="E116" s="126"/>
      <c r="F116" s="125"/>
      <c r="G116" s="125"/>
      <c r="H116" s="125"/>
      <c r="I116" s="125"/>
      <c r="J116" s="125"/>
      <c r="K116" s="127"/>
      <c r="L116" s="124"/>
      <c r="M116" s="125"/>
      <c r="N116" s="128"/>
      <c r="O116" s="125"/>
      <c r="P116" s="125"/>
      <c r="Q116" s="125"/>
      <c r="R116" s="125"/>
      <c r="S116" s="125">
        <v>31000</v>
      </c>
      <c r="T116" s="129">
        <f t="shared" si="18"/>
        <v>31000</v>
      </c>
      <c r="U116" s="38"/>
    </row>
    <row r="117" spans="1:21" ht="30" x14ac:dyDescent="0.25">
      <c r="A117" s="122">
        <v>108</v>
      </c>
      <c r="B117" s="123" t="s">
        <v>97</v>
      </c>
      <c r="C117" s="124"/>
      <c r="D117" s="125"/>
      <c r="E117" s="126"/>
      <c r="F117" s="125"/>
      <c r="G117" s="125"/>
      <c r="H117" s="125"/>
      <c r="I117" s="125"/>
      <c r="J117" s="125"/>
      <c r="K117" s="127"/>
      <c r="L117" s="124"/>
      <c r="M117" s="125"/>
      <c r="N117" s="128"/>
      <c r="O117" s="125"/>
      <c r="P117" s="125"/>
      <c r="Q117" s="125"/>
      <c r="R117" s="125"/>
      <c r="S117" s="125">
        <v>27000</v>
      </c>
      <c r="T117" s="129">
        <f t="shared" si="18"/>
        <v>27000</v>
      </c>
      <c r="U117" s="38"/>
    </row>
    <row r="118" spans="1:21" ht="30" x14ac:dyDescent="0.25">
      <c r="A118" s="109">
        <v>109</v>
      </c>
      <c r="B118" s="130" t="s">
        <v>110</v>
      </c>
      <c r="C118" s="131"/>
      <c r="D118" s="132"/>
      <c r="E118" s="132"/>
      <c r="F118" s="132"/>
      <c r="G118" s="132"/>
      <c r="H118" s="132"/>
      <c r="I118" s="132"/>
      <c r="J118" s="132"/>
      <c r="K118" s="114"/>
      <c r="L118" s="131"/>
      <c r="M118" s="132"/>
      <c r="N118" s="132"/>
      <c r="O118" s="132"/>
      <c r="P118" s="132"/>
      <c r="Q118" s="132"/>
      <c r="R118" s="132"/>
      <c r="S118" s="132">
        <v>127000</v>
      </c>
      <c r="T118" s="115">
        <f t="shared" si="18"/>
        <v>127000</v>
      </c>
      <c r="U118" s="38"/>
    </row>
    <row r="119" spans="1:21" ht="30" x14ac:dyDescent="0.25">
      <c r="A119" s="133">
        <v>110</v>
      </c>
      <c r="B119" s="134" t="s">
        <v>133</v>
      </c>
      <c r="C119" s="135"/>
      <c r="D119" s="136"/>
      <c r="E119" s="137"/>
      <c r="F119" s="136"/>
      <c r="G119" s="136"/>
      <c r="H119" s="136"/>
      <c r="I119" s="136"/>
      <c r="J119" s="136"/>
      <c r="K119" s="138"/>
      <c r="L119" s="135"/>
      <c r="M119" s="136"/>
      <c r="N119" s="136"/>
      <c r="O119" s="136">
        <v>1971000</v>
      </c>
      <c r="P119" s="136">
        <v>384500</v>
      </c>
      <c r="Q119" s="136"/>
      <c r="R119" s="136"/>
      <c r="S119" s="136"/>
      <c r="T119" s="139">
        <f t="shared" si="18"/>
        <v>2355500</v>
      </c>
      <c r="U119" s="38"/>
    </row>
    <row r="120" spans="1:21" x14ac:dyDescent="0.25">
      <c r="A120" s="133">
        <v>111</v>
      </c>
      <c r="B120" s="140" t="s">
        <v>98</v>
      </c>
      <c r="C120" s="141"/>
      <c r="D120" s="142"/>
      <c r="E120" s="143"/>
      <c r="F120" s="142"/>
      <c r="G120" s="142"/>
      <c r="H120" s="142"/>
      <c r="I120" s="142"/>
      <c r="J120" s="142"/>
      <c r="K120" s="138"/>
      <c r="L120" s="141"/>
      <c r="M120" s="142"/>
      <c r="N120" s="144"/>
      <c r="O120" s="142"/>
      <c r="P120" s="142"/>
      <c r="Q120" s="142"/>
      <c r="R120" s="142"/>
      <c r="S120" s="142">
        <v>280000</v>
      </c>
      <c r="T120" s="145">
        <f t="shared" si="18"/>
        <v>280000</v>
      </c>
      <c r="U120" s="38"/>
    </row>
    <row r="121" spans="1:21" s="15" customFormat="1" x14ac:dyDescent="0.25">
      <c r="A121" s="133">
        <v>112</v>
      </c>
      <c r="B121" s="140" t="s">
        <v>99</v>
      </c>
      <c r="C121" s="141"/>
      <c r="D121" s="142"/>
      <c r="E121" s="143"/>
      <c r="F121" s="142"/>
      <c r="G121" s="142"/>
      <c r="H121" s="142"/>
      <c r="I121" s="142"/>
      <c r="J121" s="142"/>
      <c r="K121" s="138"/>
      <c r="L121" s="141"/>
      <c r="M121" s="142"/>
      <c r="N121" s="144"/>
      <c r="O121" s="142"/>
      <c r="P121" s="142"/>
      <c r="Q121" s="142"/>
      <c r="R121" s="142"/>
      <c r="S121" s="142">
        <v>140000</v>
      </c>
      <c r="T121" s="145">
        <f t="shared" si="18"/>
        <v>140000</v>
      </c>
      <c r="U121" s="82"/>
    </row>
    <row r="122" spans="1:21" s="15" customFormat="1" x14ac:dyDescent="0.25">
      <c r="U122" s="82"/>
    </row>
    <row r="123" spans="1:21" s="15" customFormat="1" x14ac:dyDescent="0.25">
      <c r="U123" s="82"/>
    </row>
    <row r="124" spans="1:21" s="15" customFormat="1" ht="30" x14ac:dyDescent="0.25">
      <c r="A124" s="133">
        <v>115</v>
      </c>
      <c r="B124" s="140" t="s">
        <v>111</v>
      </c>
      <c r="C124" s="141"/>
      <c r="D124" s="142"/>
      <c r="E124" s="143"/>
      <c r="F124" s="142"/>
      <c r="G124" s="142"/>
      <c r="H124" s="142"/>
      <c r="I124" s="142"/>
      <c r="J124" s="142"/>
      <c r="K124" s="138"/>
      <c r="L124" s="141"/>
      <c r="M124" s="142"/>
      <c r="N124" s="144"/>
      <c r="O124" s="142"/>
      <c r="P124" s="142"/>
      <c r="Q124" s="142">
        <v>1201000</v>
      </c>
      <c r="R124" s="142"/>
      <c r="S124" s="142"/>
      <c r="T124" s="145">
        <f t="shared" si="18"/>
        <v>1201000</v>
      </c>
      <c r="U124" s="82"/>
    </row>
    <row r="125" spans="1:21" s="15" customFormat="1" ht="30" x14ac:dyDescent="0.25">
      <c r="A125" s="133">
        <v>116</v>
      </c>
      <c r="B125" s="140" t="s">
        <v>145</v>
      </c>
      <c r="C125" s="141"/>
      <c r="D125" s="142"/>
      <c r="E125" s="143"/>
      <c r="F125" s="142"/>
      <c r="G125" s="142"/>
      <c r="H125" s="142"/>
      <c r="I125" s="142"/>
      <c r="J125" s="142"/>
      <c r="K125" s="138"/>
      <c r="L125" s="141"/>
      <c r="M125" s="142"/>
      <c r="N125" s="144"/>
      <c r="O125" s="142"/>
      <c r="P125" s="142"/>
      <c r="Q125" s="142"/>
      <c r="R125" s="142"/>
      <c r="S125" s="142">
        <v>400000</v>
      </c>
      <c r="T125" s="145">
        <f t="shared" si="18"/>
        <v>400000</v>
      </c>
      <c r="U125" s="82"/>
    </row>
    <row r="126" spans="1:21" s="15" customFormat="1" ht="30" x14ac:dyDescent="0.25">
      <c r="A126" s="133">
        <v>117</v>
      </c>
      <c r="B126" s="140" t="s">
        <v>100</v>
      </c>
      <c r="C126" s="141"/>
      <c r="D126" s="142"/>
      <c r="E126" s="143"/>
      <c r="F126" s="142"/>
      <c r="G126" s="142"/>
      <c r="H126" s="142"/>
      <c r="I126" s="142"/>
      <c r="J126" s="142"/>
      <c r="K126" s="138"/>
      <c r="L126" s="141"/>
      <c r="M126" s="142"/>
      <c r="N126" s="144"/>
      <c r="O126" s="142"/>
      <c r="P126" s="142"/>
      <c r="Q126" s="142"/>
      <c r="R126" s="142"/>
      <c r="S126" s="142">
        <v>50000</v>
      </c>
      <c r="T126" s="145">
        <f t="shared" si="18"/>
        <v>50000</v>
      </c>
      <c r="U126" s="82"/>
    </row>
    <row r="127" spans="1:21" ht="30" x14ac:dyDescent="0.25">
      <c r="A127" s="146">
        <v>118</v>
      </c>
      <c r="B127" s="147" t="s">
        <v>140</v>
      </c>
      <c r="C127" s="148"/>
      <c r="D127" s="149"/>
      <c r="E127" s="150"/>
      <c r="F127" s="149"/>
      <c r="G127" s="149"/>
      <c r="H127" s="149"/>
      <c r="I127" s="149"/>
      <c r="J127" s="149"/>
      <c r="K127" s="151"/>
      <c r="L127" s="148"/>
      <c r="M127" s="149"/>
      <c r="N127" s="152"/>
      <c r="O127" s="149"/>
      <c r="P127" s="149"/>
      <c r="Q127" s="149"/>
      <c r="R127" s="149"/>
      <c r="S127" s="149">
        <v>230700</v>
      </c>
      <c r="T127" s="153">
        <f t="shared" si="18"/>
        <v>230700</v>
      </c>
      <c r="U127" s="20"/>
    </row>
    <row r="128" spans="1:21" x14ac:dyDescent="0.25">
      <c r="A128" s="146">
        <v>119</v>
      </c>
      <c r="B128" s="147" t="s">
        <v>101</v>
      </c>
      <c r="C128" s="148"/>
      <c r="D128" s="149"/>
      <c r="E128" s="150"/>
      <c r="F128" s="149"/>
      <c r="G128" s="149"/>
      <c r="H128" s="149"/>
      <c r="I128" s="149"/>
      <c r="J128" s="149"/>
      <c r="K128" s="151"/>
      <c r="L128" s="148"/>
      <c r="M128" s="149"/>
      <c r="N128" s="152"/>
      <c r="O128" s="149"/>
      <c r="P128" s="149"/>
      <c r="Q128" s="149"/>
      <c r="R128" s="149"/>
      <c r="S128" s="149">
        <v>1250000</v>
      </c>
      <c r="T128" s="153">
        <f t="shared" si="18"/>
        <v>1250000</v>
      </c>
      <c r="U128" s="20"/>
    </row>
    <row r="129" spans="1:21" s="15" customFormat="1" x14ac:dyDescent="0.25">
      <c r="A129" s="146">
        <v>120</v>
      </c>
      <c r="B129" s="147" t="s">
        <v>102</v>
      </c>
      <c r="C129" s="148"/>
      <c r="D129" s="149"/>
      <c r="E129" s="150"/>
      <c r="F129" s="149"/>
      <c r="G129" s="149"/>
      <c r="H129" s="149"/>
      <c r="I129" s="149"/>
      <c r="J129" s="149"/>
      <c r="K129" s="151"/>
      <c r="L129" s="148"/>
      <c r="M129" s="149"/>
      <c r="N129" s="152"/>
      <c r="O129" s="149"/>
      <c r="P129" s="149"/>
      <c r="Q129" s="149"/>
      <c r="R129" s="149"/>
      <c r="S129" s="149">
        <v>350000</v>
      </c>
      <c r="T129" s="153">
        <f t="shared" si="18"/>
        <v>350000</v>
      </c>
      <c r="U129" s="82"/>
    </row>
    <row r="130" spans="1:21" s="15" customFormat="1" x14ac:dyDescent="0.25">
      <c r="A130" s="146">
        <v>121</v>
      </c>
      <c r="B130" s="147" t="s">
        <v>103</v>
      </c>
      <c r="C130" s="148"/>
      <c r="D130" s="149"/>
      <c r="E130" s="150"/>
      <c r="F130" s="149"/>
      <c r="G130" s="149"/>
      <c r="H130" s="149"/>
      <c r="I130" s="149"/>
      <c r="J130" s="149"/>
      <c r="K130" s="151"/>
      <c r="L130" s="148"/>
      <c r="M130" s="149"/>
      <c r="N130" s="152"/>
      <c r="O130" s="149"/>
      <c r="P130" s="149"/>
      <c r="Q130" s="149"/>
      <c r="R130" s="149"/>
      <c r="S130" s="149">
        <v>400000</v>
      </c>
      <c r="T130" s="153">
        <f t="shared" si="18"/>
        <v>400000</v>
      </c>
      <c r="U130" s="82"/>
    </row>
    <row r="131" spans="1:21" s="15" customFormat="1" x14ac:dyDescent="0.25">
      <c r="A131" s="5"/>
      <c r="U131" s="82"/>
    </row>
    <row r="132" spans="1:21" s="15" customFormat="1" ht="30" x14ac:dyDescent="0.25">
      <c r="A132" s="73">
        <v>123</v>
      </c>
      <c r="B132" s="86" t="s">
        <v>120</v>
      </c>
      <c r="C132" s="74"/>
      <c r="D132" s="72"/>
      <c r="E132" s="75"/>
      <c r="F132" s="72"/>
      <c r="G132" s="72"/>
      <c r="H132" s="72"/>
      <c r="I132" s="72"/>
      <c r="J132" s="72"/>
      <c r="K132" s="76"/>
      <c r="L132" s="74"/>
      <c r="M132" s="72"/>
      <c r="N132" s="77"/>
      <c r="O132" s="72"/>
      <c r="P132" s="72"/>
      <c r="Q132" s="72"/>
      <c r="R132" s="72"/>
      <c r="S132" s="72">
        <f>120000-120000</f>
        <v>0</v>
      </c>
      <c r="T132" s="81">
        <f t="shared" si="18"/>
        <v>0</v>
      </c>
      <c r="U132" s="82"/>
    </row>
    <row r="133" spans="1:21" x14ac:dyDescent="0.25">
      <c r="A133" s="146">
        <v>124</v>
      </c>
      <c r="B133" s="147" t="s">
        <v>121</v>
      </c>
      <c r="C133" s="148"/>
      <c r="D133" s="149"/>
      <c r="E133" s="150"/>
      <c r="F133" s="149"/>
      <c r="G133" s="149"/>
      <c r="H133" s="149"/>
      <c r="I133" s="149"/>
      <c r="J133" s="149"/>
      <c r="K133" s="151"/>
      <c r="L133" s="148"/>
      <c r="M133" s="149"/>
      <c r="N133" s="152"/>
      <c r="O133" s="149"/>
      <c r="P133" s="149"/>
      <c r="Q133" s="149"/>
      <c r="R133" s="149"/>
      <c r="S133" s="149">
        <v>400000</v>
      </c>
      <c r="T133" s="153">
        <f t="shared" si="18"/>
        <v>400000</v>
      </c>
      <c r="U133" s="38"/>
    </row>
    <row r="134" spans="1:21" ht="30" x14ac:dyDescent="0.25">
      <c r="A134" s="146">
        <v>125</v>
      </c>
      <c r="B134" s="147" t="s">
        <v>104</v>
      </c>
      <c r="C134" s="148"/>
      <c r="D134" s="149"/>
      <c r="E134" s="150"/>
      <c r="F134" s="149"/>
      <c r="G134" s="149"/>
      <c r="H134" s="149"/>
      <c r="I134" s="149"/>
      <c r="J134" s="149"/>
      <c r="K134" s="151"/>
      <c r="L134" s="148"/>
      <c r="M134" s="149"/>
      <c r="N134" s="152"/>
      <c r="O134" s="149"/>
      <c r="P134" s="149"/>
      <c r="Q134" s="149"/>
      <c r="R134" s="149"/>
      <c r="S134" s="149">
        <v>100000</v>
      </c>
      <c r="T134" s="153">
        <f t="shared" si="18"/>
        <v>100000</v>
      </c>
      <c r="U134" s="38"/>
    </row>
    <row r="135" spans="1:21" s="15" customFormat="1" x14ac:dyDescent="0.25">
      <c r="A135" s="146">
        <v>126</v>
      </c>
      <c r="B135" s="147" t="s">
        <v>105</v>
      </c>
      <c r="C135" s="148"/>
      <c r="D135" s="149"/>
      <c r="E135" s="150"/>
      <c r="F135" s="149"/>
      <c r="G135" s="149"/>
      <c r="H135" s="149"/>
      <c r="I135" s="149"/>
      <c r="J135" s="149"/>
      <c r="K135" s="151"/>
      <c r="L135" s="148"/>
      <c r="M135" s="149"/>
      <c r="N135" s="152"/>
      <c r="O135" s="149"/>
      <c r="P135" s="149"/>
      <c r="Q135" s="149">
        <v>345000</v>
      </c>
      <c r="R135" s="149"/>
      <c r="S135" s="149"/>
      <c r="T135" s="153">
        <f t="shared" si="18"/>
        <v>345000</v>
      </c>
      <c r="U135" s="82"/>
    </row>
    <row r="136" spans="1:21" ht="30" x14ac:dyDescent="0.25">
      <c r="A136" s="146">
        <v>127</v>
      </c>
      <c r="B136" s="147" t="s">
        <v>106</v>
      </c>
      <c r="C136" s="148"/>
      <c r="D136" s="149"/>
      <c r="E136" s="150"/>
      <c r="F136" s="149"/>
      <c r="G136" s="149"/>
      <c r="H136" s="149"/>
      <c r="I136" s="149"/>
      <c r="J136" s="149"/>
      <c r="K136" s="151"/>
      <c r="L136" s="148"/>
      <c r="M136" s="149"/>
      <c r="N136" s="152"/>
      <c r="O136" s="149"/>
      <c r="P136" s="149"/>
      <c r="Q136" s="149">
        <v>200000</v>
      </c>
      <c r="R136" s="149"/>
      <c r="S136" s="149"/>
      <c r="T136" s="153">
        <f t="shared" ref="T136:T138" si="19">SUM(O136:S136)</f>
        <v>200000</v>
      </c>
      <c r="U136" s="38"/>
    </row>
    <row r="137" spans="1:21" s="63" customFormat="1" ht="30" x14ac:dyDescent="0.25">
      <c r="A137" s="146">
        <v>128</v>
      </c>
      <c r="B137" s="147" t="s">
        <v>107</v>
      </c>
      <c r="C137" s="148"/>
      <c r="D137" s="149"/>
      <c r="E137" s="150"/>
      <c r="F137" s="149"/>
      <c r="G137" s="149"/>
      <c r="H137" s="149"/>
      <c r="I137" s="149"/>
      <c r="J137" s="149"/>
      <c r="K137" s="151"/>
      <c r="L137" s="148"/>
      <c r="M137" s="149"/>
      <c r="N137" s="152"/>
      <c r="O137" s="149"/>
      <c r="P137" s="149"/>
      <c r="Q137" s="149">
        <v>200000</v>
      </c>
      <c r="R137" s="149"/>
      <c r="S137" s="149"/>
      <c r="T137" s="153">
        <f t="shared" si="19"/>
        <v>200000</v>
      </c>
      <c r="U137" s="84"/>
    </row>
    <row r="138" spans="1:21" s="63" customFormat="1" ht="18.75" x14ac:dyDescent="0.25">
      <c r="A138" s="146">
        <v>129</v>
      </c>
      <c r="B138" s="147" t="s">
        <v>122</v>
      </c>
      <c r="C138" s="148"/>
      <c r="D138" s="149"/>
      <c r="E138" s="150"/>
      <c r="F138" s="149"/>
      <c r="G138" s="149"/>
      <c r="H138" s="149"/>
      <c r="I138" s="149"/>
      <c r="J138" s="149"/>
      <c r="K138" s="151"/>
      <c r="L138" s="148"/>
      <c r="M138" s="149"/>
      <c r="N138" s="152"/>
      <c r="O138" s="149"/>
      <c r="P138" s="149"/>
      <c r="Q138" s="149">
        <v>200000</v>
      </c>
      <c r="R138" s="149"/>
      <c r="S138" s="149"/>
      <c r="T138" s="153">
        <f t="shared" si="19"/>
        <v>200000</v>
      </c>
      <c r="U138" s="85"/>
    </row>
    <row r="139" spans="1:21" ht="45" x14ac:dyDescent="0.25">
      <c r="A139" s="5">
        <v>130</v>
      </c>
      <c r="B139" s="59" t="s">
        <v>125</v>
      </c>
      <c r="C139" s="18">
        <f t="shared" ref="C139:T139" si="20">SUM(C93:C138)</f>
        <v>4226119</v>
      </c>
      <c r="D139" s="35">
        <f t="shared" si="20"/>
        <v>0</v>
      </c>
      <c r="E139" s="35">
        <f t="shared" si="20"/>
        <v>4226119</v>
      </c>
      <c r="F139" s="35">
        <f t="shared" si="20"/>
        <v>1488120</v>
      </c>
      <c r="G139" s="35">
        <f t="shared" si="20"/>
        <v>448422</v>
      </c>
      <c r="H139" s="35">
        <f t="shared" si="20"/>
        <v>25334035</v>
      </c>
      <c r="I139" s="35">
        <f t="shared" si="20"/>
        <v>63500</v>
      </c>
      <c r="J139" s="35">
        <f t="shared" si="20"/>
        <v>453000</v>
      </c>
      <c r="K139" s="21">
        <f t="shared" si="20"/>
        <v>27787077</v>
      </c>
      <c r="L139" s="18">
        <f t="shared" si="20"/>
        <v>3967000</v>
      </c>
      <c r="M139" s="35">
        <f t="shared" si="20"/>
        <v>258000</v>
      </c>
      <c r="N139" s="35">
        <f t="shared" si="20"/>
        <v>4225000</v>
      </c>
      <c r="O139" s="35">
        <f t="shared" si="20"/>
        <v>4321000</v>
      </c>
      <c r="P139" s="35">
        <f t="shared" si="20"/>
        <v>1014500</v>
      </c>
      <c r="Q139" s="35">
        <f t="shared" si="20"/>
        <v>37607000</v>
      </c>
      <c r="R139" s="35">
        <f t="shared" si="20"/>
        <v>0</v>
      </c>
      <c r="S139" s="35">
        <f t="shared" si="20"/>
        <v>6050700</v>
      </c>
      <c r="T139" s="44">
        <f t="shared" si="20"/>
        <v>48993200</v>
      </c>
      <c r="U139" s="38"/>
    </row>
    <row r="140" spans="1:21" x14ac:dyDescent="0.25">
      <c r="A140" s="5">
        <v>131</v>
      </c>
      <c r="B140" s="56"/>
      <c r="C140" s="57"/>
      <c r="D140" s="58"/>
      <c r="E140" s="58"/>
      <c r="F140" s="58"/>
      <c r="G140" s="58"/>
      <c r="H140" s="58"/>
      <c r="I140" s="58"/>
      <c r="J140" s="58"/>
      <c r="K140" s="21"/>
      <c r="L140" s="57"/>
      <c r="M140" s="58"/>
      <c r="N140" s="58"/>
      <c r="O140" s="58"/>
      <c r="P140" s="58"/>
      <c r="Q140" s="58"/>
      <c r="R140" s="58"/>
      <c r="S140" s="58"/>
      <c r="T140" s="44"/>
      <c r="U140" s="38"/>
    </row>
    <row r="141" spans="1:21" x14ac:dyDescent="0.25">
      <c r="A141" s="5">
        <v>133</v>
      </c>
      <c r="B141" s="25"/>
      <c r="C141" s="22"/>
      <c r="D141" s="20"/>
      <c r="E141" s="35"/>
      <c r="F141" s="20"/>
      <c r="G141" s="20"/>
      <c r="H141" s="20"/>
      <c r="I141" s="20"/>
      <c r="J141" s="20"/>
      <c r="K141" s="21"/>
      <c r="L141" s="22"/>
      <c r="M141" s="20"/>
      <c r="N141" s="35"/>
      <c r="O141" s="20"/>
      <c r="P141" s="20"/>
      <c r="Q141" s="20"/>
      <c r="R141" s="20"/>
      <c r="S141" s="20"/>
      <c r="T141" s="44"/>
      <c r="U141" s="38"/>
    </row>
    <row r="142" spans="1:21" x14ac:dyDescent="0.25">
      <c r="A142" s="5">
        <v>134</v>
      </c>
      <c r="B142" s="71" t="s">
        <v>113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>
        <f t="shared" ref="L142:T142" si="21">L78+L139+L90+L87</f>
        <v>944082568</v>
      </c>
      <c r="M142" s="35">
        <f t="shared" si="21"/>
        <v>413184470</v>
      </c>
      <c r="N142" s="35">
        <f t="shared" si="21"/>
        <v>1357267038</v>
      </c>
      <c r="O142" s="35">
        <f t="shared" si="21"/>
        <v>351468730</v>
      </c>
      <c r="P142" s="35">
        <f t="shared" si="21"/>
        <v>63136088</v>
      </c>
      <c r="Q142" s="35">
        <f t="shared" si="21"/>
        <v>357600867</v>
      </c>
      <c r="R142" s="35">
        <f t="shared" si="21"/>
        <v>5970000</v>
      </c>
      <c r="S142" s="35">
        <f t="shared" si="21"/>
        <v>605336362</v>
      </c>
      <c r="T142" s="44">
        <f t="shared" si="21"/>
        <v>1383512047</v>
      </c>
      <c r="U142" s="20">
        <f>N142-T142</f>
        <v>-26245009</v>
      </c>
    </row>
    <row r="143" spans="1:21" ht="15.75" x14ac:dyDescent="0.25">
      <c r="A143" s="90">
        <v>135</v>
      </c>
      <c r="D143" s="60"/>
      <c r="E143" s="61"/>
      <c r="F143" s="60"/>
    </row>
    <row r="144" spans="1:21" ht="18.75" x14ac:dyDescent="0.25">
      <c r="A144" s="90">
        <v>136</v>
      </c>
      <c r="B144" s="62" t="s">
        <v>115</v>
      </c>
      <c r="C144" s="63"/>
      <c r="D144" s="62">
        <f>N142</f>
        <v>1357267038</v>
      </c>
      <c r="E144" s="64"/>
      <c r="F144" s="63"/>
      <c r="G144" s="63"/>
      <c r="H144" s="63"/>
      <c r="I144" s="63"/>
      <c r="J144" s="63"/>
      <c r="K144" s="64"/>
      <c r="L144" s="63"/>
      <c r="M144" s="63"/>
      <c r="N144" s="64"/>
      <c r="O144" s="63"/>
      <c r="P144" s="63"/>
      <c r="Q144" s="63"/>
      <c r="R144" s="63"/>
      <c r="S144" s="63"/>
      <c r="T144" s="64"/>
    </row>
    <row r="145" spans="1:20" ht="45" x14ac:dyDescent="0.25">
      <c r="A145" s="90">
        <v>137</v>
      </c>
      <c r="B145" s="65" t="s">
        <v>118</v>
      </c>
      <c r="C145" s="63"/>
      <c r="D145" s="62">
        <f>T78</f>
        <v>1313428687</v>
      </c>
      <c r="E145" s="64"/>
      <c r="F145" s="63"/>
      <c r="G145" s="63"/>
      <c r="H145" s="170" t="s">
        <v>7</v>
      </c>
      <c r="I145" s="170"/>
      <c r="J145" s="170"/>
      <c r="K145" s="156" t="s">
        <v>147</v>
      </c>
      <c r="L145" s="156" t="s">
        <v>148</v>
      </c>
      <c r="M145" s="156" t="s">
        <v>149</v>
      </c>
      <c r="N145" s="64"/>
      <c r="O145" s="63"/>
      <c r="P145" s="63"/>
      <c r="Q145" s="63"/>
      <c r="R145" s="63"/>
      <c r="S145" s="63"/>
      <c r="T145" s="64"/>
    </row>
    <row r="146" spans="1:20" ht="19.5" x14ac:dyDescent="0.25">
      <c r="A146" s="90">
        <v>138</v>
      </c>
      <c r="B146" s="66" t="s">
        <v>116</v>
      </c>
      <c r="C146" s="67"/>
      <c r="D146" s="66">
        <f>D144-D145</f>
        <v>43838351</v>
      </c>
      <c r="E146" s="64"/>
      <c r="F146" s="63"/>
      <c r="G146" s="63"/>
      <c r="H146" s="60" t="s">
        <v>150</v>
      </c>
      <c r="I146" s="63"/>
      <c r="J146" s="63"/>
      <c r="K146" s="155">
        <v>18398000</v>
      </c>
      <c r="L146" s="154">
        <f>Munka2!C2</f>
        <v>0.37552150094298803</v>
      </c>
      <c r="M146" s="155">
        <f>L146*$D$153</f>
        <v>-8534503.0629148539</v>
      </c>
      <c r="N146" s="64"/>
      <c r="O146" s="63"/>
      <c r="P146" s="63"/>
      <c r="Q146" s="63"/>
      <c r="R146" s="63"/>
      <c r="S146" s="63"/>
      <c r="T146" s="64"/>
    </row>
    <row r="147" spans="1:20" ht="18.75" x14ac:dyDescent="0.25">
      <c r="A147" s="90">
        <v>139</v>
      </c>
      <c r="B147" s="63"/>
      <c r="C147" s="63"/>
      <c r="D147" s="63"/>
      <c r="E147" s="64"/>
      <c r="F147" s="63"/>
      <c r="G147" s="63"/>
      <c r="H147" s="60" t="s">
        <v>71</v>
      </c>
      <c r="I147" s="63"/>
      <c r="J147" s="63"/>
      <c r="K147" s="155">
        <v>22297000</v>
      </c>
      <c r="L147" s="154">
        <f>Munka2!C3</f>
        <v>0.45510397361266464</v>
      </c>
      <c r="M147" s="155">
        <f t="shared" ref="M147:M151" si="22">L147*$D$153</f>
        <v>-10343179.410469208</v>
      </c>
      <c r="N147" s="64"/>
      <c r="O147" s="63"/>
      <c r="P147" s="63"/>
      <c r="Q147" s="63"/>
      <c r="R147" s="63"/>
      <c r="S147" s="63"/>
      <c r="T147" s="64"/>
    </row>
    <row r="148" spans="1:20" ht="19.5" x14ac:dyDescent="0.25">
      <c r="A148" s="90">
        <v>140</v>
      </c>
      <c r="B148" s="66" t="str">
        <f>B146</f>
        <v>Szabad források:</v>
      </c>
      <c r="C148" s="67"/>
      <c r="D148" s="66">
        <f>D146</f>
        <v>43838351</v>
      </c>
      <c r="E148" s="64"/>
      <c r="F148" s="63"/>
      <c r="G148" s="63"/>
      <c r="H148" s="60" t="s">
        <v>0</v>
      </c>
      <c r="I148" s="63"/>
      <c r="J148" s="63"/>
      <c r="K148" s="155">
        <v>196000</v>
      </c>
      <c r="L148" s="154">
        <f>Munka2!C4</f>
        <v>4.000555179086077E-3</v>
      </c>
      <c r="M148" s="155">
        <f t="shared" si="22"/>
        <v>-90920.893593396628</v>
      </c>
      <c r="N148" s="64"/>
      <c r="O148" s="63"/>
      <c r="P148" s="63"/>
      <c r="Q148" s="63"/>
      <c r="R148" s="63"/>
      <c r="S148" s="63"/>
      <c r="T148" s="64"/>
    </row>
    <row r="149" spans="1:20" ht="18.75" x14ac:dyDescent="0.25">
      <c r="A149" s="90">
        <v>141</v>
      </c>
      <c r="B149" s="68" t="s">
        <v>117</v>
      </c>
      <c r="C149" s="63"/>
      <c r="D149" s="62"/>
      <c r="E149" s="64"/>
      <c r="F149" s="63"/>
      <c r="G149" s="63"/>
      <c r="H149" s="60" t="s">
        <v>69</v>
      </c>
      <c r="I149" s="63"/>
      <c r="J149" s="63"/>
      <c r="K149" s="155">
        <v>3675700</v>
      </c>
      <c r="L149" s="154">
        <f>Munka2!C5</f>
        <v>7.5024697304932109E-2</v>
      </c>
      <c r="M149" s="155">
        <f t="shared" si="22"/>
        <v>-1705091.4723533061</v>
      </c>
      <c r="N149" s="64"/>
      <c r="O149" s="63"/>
      <c r="P149" s="63"/>
      <c r="Q149" s="63"/>
      <c r="R149" s="63"/>
      <c r="S149" s="63"/>
      <c r="T149" s="64"/>
    </row>
    <row r="150" spans="1:20" ht="75" x14ac:dyDescent="0.25">
      <c r="A150" s="90">
        <v>142</v>
      </c>
      <c r="B150" s="65" t="s">
        <v>124</v>
      </c>
      <c r="C150" s="63"/>
      <c r="D150" s="62">
        <f>T90</f>
        <v>17572220</v>
      </c>
      <c r="E150" s="64"/>
      <c r="F150" s="63"/>
      <c r="G150" s="63"/>
      <c r="H150" s="60" t="s">
        <v>151</v>
      </c>
      <c r="I150" s="63"/>
      <c r="J150" s="63"/>
      <c r="K150" s="157">
        <v>4426500</v>
      </c>
      <c r="L150" s="158">
        <f>Munka2!C6</f>
        <v>9.0349272960329186E-2</v>
      </c>
      <c r="M150" s="161">
        <f t="shared" si="22"/>
        <v>-2053374.1606692357</v>
      </c>
      <c r="N150" s="64"/>
      <c r="O150" s="63"/>
      <c r="P150" s="63"/>
      <c r="Q150" s="63"/>
      <c r="R150" s="63"/>
      <c r="S150" s="63"/>
      <c r="T150" s="64"/>
    </row>
    <row r="151" spans="1:20" ht="56.25" x14ac:dyDescent="0.25">
      <c r="A151" s="90">
        <v>143</v>
      </c>
      <c r="B151" s="65" t="s">
        <v>119</v>
      </c>
      <c r="C151" s="63"/>
      <c r="D151" s="62">
        <f>T139</f>
        <v>48993200</v>
      </c>
      <c r="E151" s="64"/>
      <c r="F151" s="63"/>
      <c r="G151" s="63"/>
      <c r="H151" s="63"/>
      <c r="I151" s="63"/>
      <c r="J151" s="63"/>
      <c r="K151" s="159">
        <f>SUM(K146:K150)</f>
        <v>48993200</v>
      </c>
      <c r="L151" s="160">
        <f>Munka2!C7</f>
        <v>1</v>
      </c>
      <c r="M151" s="162">
        <f t="shared" si="22"/>
        <v>-22727069</v>
      </c>
      <c r="N151" s="64"/>
      <c r="O151" s="63"/>
      <c r="P151" s="63"/>
      <c r="Q151" s="63"/>
      <c r="R151" s="63"/>
      <c r="S151" s="63"/>
      <c r="T151" s="64"/>
    </row>
    <row r="152" spans="1:20" ht="18.75" x14ac:dyDescent="0.25">
      <c r="A152" s="90">
        <v>144</v>
      </c>
      <c r="B152" s="62"/>
      <c r="C152" s="63"/>
      <c r="D152" s="62"/>
      <c r="E152" s="64"/>
      <c r="F152" s="63"/>
      <c r="G152" s="63"/>
      <c r="H152" s="63"/>
      <c r="I152" s="63"/>
      <c r="J152" s="63"/>
      <c r="K152" s="64"/>
      <c r="L152" s="63"/>
      <c r="M152" s="63"/>
      <c r="N152" s="64"/>
      <c r="O152" s="63"/>
      <c r="P152" s="63"/>
      <c r="Q152" s="63"/>
      <c r="R152" s="63"/>
      <c r="S152" s="63"/>
      <c r="T152" s="64"/>
    </row>
    <row r="153" spans="1:20" ht="58.5" x14ac:dyDescent="0.25">
      <c r="A153" s="90">
        <v>145</v>
      </c>
      <c r="B153" s="69" t="s">
        <v>155</v>
      </c>
      <c r="C153" s="67"/>
      <c r="D153" s="66">
        <f>D148-D150-D151-D152</f>
        <v>-22727069</v>
      </c>
      <c r="E153" s="64"/>
      <c r="F153" s="63"/>
      <c r="G153" s="63"/>
      <c r="H153" s="63"/>
      <c r="I153" s="63"/>
      <c r="J153" s="63"/>
      <c r="K153" s="64"/>
      <c r="L153" s="63"/>
      <c r="M153" s="63"/>
      <c r="N153" s="64"/>
      <c r="O153" s="63"/>
      <c r="P153" s="63"/>
      <c r="Q153" s="63"/>
      <c r="R153" s="63"/>
      <c r="S153" s="63"/>
      <c r="T153" s="64"/>
    </row>
  </sheetData>
  <mergeCells count="4">
    <mergeCell ref="C2:K2"/>
    <mergeCell ref="L2:T2"/>
    <mergeCell ref="K1:M1"/>
    <mergeCell ref="H145:J145"/>
  </mergeCells>
  <pageMargins left="0.70866141732283472" right="0.70866141732283472" top="0.74803149606299213" bottom="0.74803149606299213" header="0.31496062992125984" footer="0.31496062992125984"/>
  <pageSetup paperSize="8" scale="65" fitToHeight="3" orientation="landscape" r:id="rId1"/>
  <rowBreaks count="1" manualBreakCount="1"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F22" sqref="F22"/>
    </sheetView>
  </sheetViews>
  <sheetFormatPr defaultRowHeight="15" x14ac:dyDescent="0.25"/>
  <cols>
    <col min="2" max="2" width="9.85546875" style="155" bestFit="1" customWidth="1"/>
    <col min="3" max="3" width="9.28515625" style="154" bestFit="1" customWidth="1"/>
    <col min="4" max="4" width="9.85546875" style="155" bestFit="1" customWidth="1"/>
  </cols>
  <sheetData>
    <row r="1" spans="2:4" x14ac:dyDescent="0.25">
      <c r="D1" s="155">
        <v>22367069</v>
      </c>
    </row>
    <row r="2" spans="2:4" x14ac:dyDescent="0.25">
      <c r="B2" s="155">
        <v>18398000</v>
      </c>
      <c r="C2" s="154">
        <f>B2/$B$7</f>
        <v>0.37552150094298803</v>
      </c>
      <c r="D2" s="155">
        <f>C2*$D$1</f>
        <v>8399315.3225753792</v>
      </c>
    </row>
    <row r="3" spans="2:4" x14ac:dyDescent="0.25">
      <c r="B3" s="155">
        <v>22297000</v>
      </c>
      <c r="C3" s="154">
        <f t="shared" ref="C3:C7" si="0">B3/$B$7</f>
        <v>0.45510397361266464</v>
      </c>
      <c r="D3" s="155">
        <f t="shared" ref="D3:D7" si="1">C3*$D$1</f>
        <v>10179341.979968648</v>
      </c>
    </row>
    <row r="4" spans="2:4" x14ac:dyDescent="0.25">
      <c r="B4" s="155">
        <v>196000</v>
      </c>
      <c r="C4" s="154">
        <f t="shared" si="0"/>
        <v>4.000555179086077E-3</v>
      </c>
      <c r="D4" s="155">
        <f t="shared" si="1"/>
        <v>89480.693728925646</v>
      </c>
    </row>
    <row r="5" spans="2:4" x14ac:dyDescent="0.25">
      <c r="B5" s="155">
        <v>3675700</v>
      </c>
      <c r="C5" s="154">
        <f t="shared" si="0"/>
        <v>7.5024697304932109E-2</v>
      </c>
      <c r="D5" s="155">
        <f t="shared" si="1"/>
        <v>1678082.5813235305</v>
      </c>
    </row>
    <row r="6" spans="2:4" x14ac:dyDescent="0.25">
      <c r="B6" s="155">
        <v>4426500</v>
      </c>
      <c r="C6" s="154">
        <f t="shared" si="0"/>
        <v>9.0349272960329186E-2</v>
      </c>
      <c r="D6" s="155">
        <f t="shared" si="1"/>
        <v>2020848.4224035172</v>
      </c>
    </row>
    <row r="7" spans="2:4" x14ac:dyDescent="0.25">
      <c r="B7" s="155">
        <f>SUM(B2:B6)</f>
        <v>48993200</v>
      </c>
      <c r="C7" s="154">
        <f t="shared" si="0"/>
        <v>1</v>
      </c>
      <c r="D7" s="155">
        <f t="shared" si="1"/>
        <v>22367069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2019-02-22T13:51:05Z</dcterms:modified>
</cp:coreProperties>
</file>