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85" windowWidth="14805" windowHeight="6930" firstSheet="16" activeTab="23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  <sheet name="7.adóss keletk" sheetId="32" r:id="rId19"/>
    <sheet name="8.saját bev" sheetId="33" r:id="rId20"/>
    <sheet name="9.adóss fejl" sheetId="34" r:id="rId21"/>
    <sheet name="10.közvetett tamo" sheetId="35" r:id="rId22"/>
    <sheet name="11.EU-s" sheetId="36" r:id="rId23"/>
    <sheet name="12.pe átadás" sheetId="37" r:id="rId24"/>
    <sheet name="13.péneszk vált" sheetId="38" r:id="rId25"/>
    <sheet name="14.önk által folyósított" sheetId="39" r:id="rId26"/>
    <sheet name="15.részesed" sheetId="40" r:id="rId27"/>
    <sheet name="16vagyon" sheetId="42" r:id="rId28"/>
    <sheet name="17maradvány" sheetId="43" r:id="rId29"/>
  </sheets>
  <definedNames>
    <definedName name="_xlnm._FilterDatabase" localSheetId="6" hidden="1">'3.1 Önk bev.'!$A$5:$AO$93</definedName>
    <definedName name="_xlnm._FilterDatabase" localSheetId="11" hidden="1">'4.1.Önk kiad'!$A$4:$AZ$4</definedName>
    <definedName name="_xlnm.Print_Area" localSheetId="1">'1.2.kötelező'!$A$1:$F$93</definedName>
    <definedName name="_xlnm.Print_Area" localSheetId="27">'16vagyon'!$B$1:$F$156</definedName>
    <definedName name="_xlnm.Print_Area" localSheetId="6">'3.1 Önk bev.'!$A$1:$AM$93</definedName>
    <definedName name="_xlnm.Print_Area" localSheetId="7">'3.2 PMH bev.'!$A$1:$AE$10</definedName>
    <definedName name="_xlnm.Print_Area" localSheetId="8">'3.3 GKP bev'!$A$1:$AF$19</definedName>
    <definedName name="_xlnm.Print_Area" localSheetId="9">'3.4 VE bev'!$A$1:$AB$17</definedName>
    <definedName name="_xlnm.Print_Area" localSheetId="10">'3.5 MH bev.'!$A$1:$AE$15</definedName>
    <definedName name="_xlnm.Print_Area" localSheetId="11">'4.1.Önk kiad'!$A$1:$AV$99</definedName>
    <definedName name="_xlnm.Print_Area" localSheetId="12">'4.2.PMH kiad'!$A$1:$AJ$12</definedName>
    <definedName name="_xlnm.Print_Area" localSheetId="13">'4.3. GKP kiad'!$A$1:$AJ$21</definedName>
    <definedName name="_xlnm.Print_Area" localSheetId="14">'4.4. VE kiad'!$A$1:$AJ$11</definedName>
    <definedName name="_xlnm.Print_Area" localSheetId="15">'4.5. MH kiad'!$A$1:$AJ$17</definedName>
    <definedName name="Verzió" localSheetId="27">#REF!</definedName>
    <definedName name="Verzió" localSheetId="28">#REF!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E44" i="42" l="1"/>
  <c r="E51" i="42"/>
  <c r="E54" i="42"/>
  <c r="E53" i="42"/>
  <c r="E47" i="42" l="1"/>
  <c r="E45" i="42" l="1"/>
  <c r="G22" i="43"/>
  <c r="G8" i="43"/>
  <c r="C21" i="43" l="1"/>
  <c r="C6" i="43"/>
  <c r="C7" i="43"/>
  <c r="D8" i="43"/>
  <c r="E8" i="43"/>
  <c r="E12" i="43" s="1"/>
  <c r="F8" i="43"/>
  <c r="G12" i="43"/>
  <c r="G20" i="43" s="1"/>
  <c r="H8" i="43"/>
  <c r="C9" i="43"/>
  <c r="C10" i="43"/>
  <c r="D11" i="43"/>
  <c r="E11" i="43"/>
  <c r="F11" i="43"/>
  <c r="F12" i="43" s="1"/>
  <c r="G11" i="43"/>
  <c r="H11" i="43"/>
  <c r="H12" i="43" s="1"/>
  <c r="C13" i="43"/>
  <c r="C14" i="43"/>
  <c r="C15" i="43"/>
  <c r="C16" i="43"/>
  <c r="C17" i="43"/>
  <c r="C18" i="43"/>
  <c r="C19" i="43"/>
  <c r="C23" i="43"/>
  <c r="C24" i="43"/>
  <c r="H22" i="43" l="1"/>
  <c r="H20" i="43"/>
  <c r="F22" i="43"/>
  <c r="F20" i="43"/>
  <c r="E20" i="43"/>
  <c r="E22" i="43"/>
  <c r="D12" i="43"/>
  <c r="D22" i="43" s="1"/>
  <c r="C22" i="43" s="1"/>
  <c r="D20" i="43"/>
  <c r="C11" i="43"/>
  <c r="C12" i="43"/>
  <c r="C20" i="43"/>
  <c r="C8" i="43"/>
  <c r="F103" i="42" l="1"/>
  <c r="D14" i="39"/>
  <c r="E14" i="39"/>
  <c r="C14" i="39"/>
  <c r="D46" i="39"/>
  <c r="C46" i="39"/>
  <c r="D19" i="42"/>
  <c r="E20" i="42"/>
  <c r="E19" i="42"/>
  <c r="D55" i="42"/>
  <c r="E46" i="42"/>
  <c r="E55" i="42"/>
  <c r="E42" i="42"/>
  <c r="E41" i="42"/>
  <c r="E40" i="42"/>
  <c r="E34" i="42"/>
  <c r="E35" i="42"/>
  <c r="E33" i="42"/>
  <c r="E32" i="42"/>
  <c r="E31" i="42"/>
  <c r="D24" i="42"/>
  <c r="F18" i="42"/>
  <c r="D155" i="42"/>
  <c r="D151" i="42"/>
  <c r="D147" i="42"/>
  <c r="D144" i="42"/>
  <c r="D142" i="42"/>
  <c r="D152" i="42" s="1"/>
  <c r="D135" i="42"/>
  <c r="D138" i="42" s="1"/>
  <c r="D129" i="42"/>
  <c r="D130" i="42" s="1"/>
  <c r="D118" i="42"/>
  <c r="D123" i="42" s="1"/>
  <c r="D115" i="42"/>
  <c r="D117" i="42" s="1"/>
  <c r="D108" i="42"/>
  <c r="D105" i="42"/>
  <c r="D103" i="42"/>
  <c r="D100" i="42"/>
  <c r="D97" i="42"/>
  <c r="D98" i="42" s="1"/>
  <c r="D93" i="42"/>
  <c r="D89" i="42"/>
  <c r="D85" i="42"/>
  <c r="D12" i="42"/>
  <c r="D14" i="42"/>
  <c r="E18" i="42"/>
  <c r="F24" i="42"/>
  <c r="D43" i="42"/>
  <c r="F43" i="42"/>
  <c r="F63" i="42"/>
  <c r="F65" i="42" s="1"/>
  <c r="F85" i="42"/>
  <c r="E89" i="42"/>
  <c r="F89" i="42"/>
  <c r="E93" i="42"/>
  <c r="E94" i="42" s="1"/>
  <c r="F93" i="42"/>
  <c r="F94" i="42"/>
  <c r="E97" i="42"/>
  <c r="E98" i="42" s="1"/>
  <c r="F97" i="42"/>
  <c r="F98" i="42" s="1"/>
  <c r="F100" i="42"/>
  <c r="E103" i="42"/>
  <c r="E104" i="42" s="1"/>
  <c r="F104" i="42"/>
  <c r="E105" i="42"/>
  <c r="F105" i="42"/>
  <c r="E108" i="42"/>
  <c r="E115" i="42"/>
  <c r="F115" i="42"/>
  <c r="F117" i="42" s="1"/>
  <c r="E117" i="42"/>
  <c r="E118" i="42"/>
  <c r="F123" i="42"/>
  <c r="E123" i="42"/>
  <c r="F130" i="42"/>
  <c r="E135" i="42"/>
  <c r="F135" i="42"/>
  <c r="F138" i="42" s="1"/>
  <c r="E138" i="42"/>
  <c r="E142" i="42"/>
  <c r="F142" i="42"/>
  <c r="E144" i="42"/>
  <c r="E147" i="42" s="1"/>
  <c r="F147" i="42"/>
  <c r="E151" i="42"/>
  <c r="F151" i="42"/>
  <c r="E155" i="42"/>
  <c r="F155" i="42"/>
  <c r="G13" i="40"/>
  <c r="H14" i="40"/>
  <c r="G14" i="40"/>
  <c r="F14" i="40"/>
  <c r="E14" i="40"/>
  <c r="E114" i="42" l="1"/>
  <c r="E124" i="42" s="1"/>
  <c r="E131" i="42" s="1"/>
  <c r="D18" i="42"/>
  <c r="E24" i="42"/>
  <c r="F152" i="42"/>
  <c r="F156" i="42" s="1"/>
  <c r="E152" i="42"/>
  <c r="E156" i="42" s="1"/>
  <c r="D94" i="42"/>
  <c r="D104" i="42"/>
  <c r="D114" i="42"/>
  <c r="D124" i="42" s="1"/>
  <c r="F114" i="42"/>
  <c r="F124" i="42" s="1"/>
  <c r="F131" i="42" s="1"/>
  <c r="D63" i="42"/>
  <c r="D65" i="42" s="1"/>
  <c r="E63" i="42"/>
  <c r="E43" i="42"/>
  <c r="D156" i="42"/>
  <c r="D131" i="42" l="1"/>
  <c r="E65" i="42"/>
  <c r="E52" i="39" l="1"/>
  <c r="D52" i="39"/>
  <c r="C52" i="39"/>
  <c r="E36" i="39"/>
  <c r="D36" i="39"/>
  <c r="D53" i="39" s="1"/>
  <c r="C36" i="39"/>
  <c r="E53" i="39" l="1"/>
  <c r="C53" i="39"/>
  <c r="D114" i="38"/>
  <c r="D101" i="38"/>
  <c r="D55" i="38"/>
  <c r="F110" i="38" l="1"/>
  <c r="E110" i="38"/>
  <c r="D110" i="38"/>
  <c r="F87" i="38"/>
  <c r="E87" i="38"/>
  <c r="D87" i="38"/>
  <c r="F64" i="38"/>
  <c r="E64" i="38"/>
  <c r="D64" i="38"/>
  <c r="F41" i="38"/>
  <c r="E41" i="38"/>
  <c r="D41" i="38"/>
  <c r="K22" i="38"/>
  <c r="D22" i="38"/>
  <c r="K21" i="38"/>
  <c r="K20" i="38"/>
  <c r="K19" i="38"/>
  <c r="F18" i="38"/>
  <c r="E18" i="38"/>
  <c r="K17" i="38"/>
  <c r="K16" i="38"/>
  <c r="K15" i="38"/>
  <c r="K14" i="38"/>
  <c r="K13" i="38"/>
  <c r="J12" i="38"/>
  <c r="J18" i="38" s="1"/>
  <c r="I12" i="38"/>
  <c r="I18" i="38" s="1"/>
  <c r="H12" i="38"/>
  <c r="H18" i="38" s="1"/>
  <c r="K12" i="38"/>
  <c r="K11" i="38"/>
  <c r="D18" i="38"/>
  <c r="D9" i="38"/>
  <c r="K9" i="38" s="1"/>
  <c r="K8" i="38"/>
  <c r="K7" i="38"/>
  <c r="K18" i="38" l="1"/>
  <c r="K10" i="38"/>
  <c r="C15" i="35" l="1"/>
  <c r="F21" i="37" l="1"/>
  <c r="F15" i="37"/>
  <c r="F17" i="37"/>
  <c r="F16" i="37"/>
  <c r="F26" i="37"/>
  <c r="F23" i="37"/>
  <c r="F10" i="37"/>
  <c r="F9" i="37"/>
  <c r="E27" i="37" l="1"/>
  <c r="D27" i="37"/>
  <c r="C27" i="37"/>
  <c r="F25" i="37"/>
  <c r="F24" i="37"/>
  <c r="F22" i="37"/>
  <c r="F20" i="37"/>
  <c r="F19" i="37"/>
  <c r="F18" i="37"/>
  <c r="F14" i="37"/>
  <c r="F13" i="37"/>
  <c r="F12" i="37"/>
  <c r="F8" i="37"/>
  <c r="F7" i="37"/>
  <c r="F6" i="37"/>
  <c r="D213" i="36"/>
  <c r="E213" i="36" s="1"/>
  <c r="C216" i="36"/>
  <c r="B216" i="36"/>
  <c r="E215" i="36"/>
  <c r="E214" i="36"/>
  <c r="E212" i="36"/>
  <c r="E211" i="36"/>
  <c r="D208" i="36"/>
  <c r="C208" i="36"/>
  <c r="B208" i="36"/>
  <c r="E207" i="36"/>
  <c r="E206" i="36"/>
  <c r="E205" i="36"/>
  <c r="E204" i="36"/>
  <c r="E203" i="36"/>
  <c r="E202" i="36"/>
  <c r="E201" i="36"/>
  <c r="D193" i="36"/>
  <c r="E193" i="36" s="1"/>
  <c r="D133" i="36"/>
  <c r="C196" i="36"/>
  <c r="B196" i="36"/>
  <c r="E195" i="36"/>
  <c r="E194" i="36"/>
  <c r="E192" i="36"/>
  <c r="E191" i="36"/>
  <c r="D188" i="36"/>
  <c r="C188" i="36"/>
  <c r="B188" i="36"/>
  <c r="E187" i="36"/>
  <c r="E186" i="36"/>
  <c r="E185" i="36"/>
  <c r="E184" i="36"/>
  <c r="E183" i="36"/>
  <c r="E182" i="36"/>
  <c r="E181" i="36"/>
  <c r="E188" i="36" s="1"/>
  <c r="D172" i="36"/>
  <c r="F27" i="37" l="1"/>
  <c r="D216" i="36"/>
  <c r="E216" i="36"/>
  <c r="E208" i="36"/>
  <c r="D196" i="36"/>
  <c r="E196" i="36"/>
  <c r="C176" i="36" l="1"/>
  <c r="B176" i="36"/>
  <c r="E175" i="36"/>
  <c r="E174" i="36"/>
  <c r="E173" i="36"/>
  <c r="D176" i="36"/>
  <c r="E171" i="36"/>
  <c r="D168" i="36"/>
  <c r="C168" i="36"/>
  <c r="B168" i="36"/>
  <c r="E167" i="36"/>
  <c r="E166" i="36"/>
  <c r="E165" i="36"/>
  <c r="E164" i="36"/>
  <c r="E163" i="36"/>
  <c r="E162" i="36"/>
  <c r="E161" i="36"/>
  <c r="D152" i="36"/>
  <c r="E142" i="36"/>
  <c r="E143" i="36"/>
  <c r="E144" i="36"/>
  <c r="E145" i="36"/>
  <c r="E146" i="36"/>
  <c r="E147" i="36"/>
  <c r="E141" i="36"/>
  <c r="E152" i="36"/>
  <c r="E153" i="36"/>
  <c r="E154" i="36"/>
  <c r="E155" i="36"/>
  <c r="E151" i="36"/>
  <c r="D156" i="36"/>
  <c r="C156" i="36"/>
  <c r="B156" i="36"/>
  <c r="D148" i="36"/>
  <c r="C148" i="36"/>
  <c r="B148" i="36"/>
  <c r="E133" i="36"/>
  <c r="E136" i="36" s="1"/>
  <c r="B136" i="36"/>
  <c r="B128" i="36"/>
  <c r="D102" i="36"/>
  <c r="C109" i="36"/>
  <c r="E103" i="36"/>
  <c r="E104" i="36"/>
  <c r="E105" i="36"/>
  <c r="E106" i="36"/>
  <c r="E107" i="36"/>
  <c r="E108" i="36"/>
  <c r="E102" i="36"/>
  <c r="E113" i="36"/>
  <c r="E114" i="36"/>
  <c r="E115" i="36"/>
  <c r="E116" i="36"/>
  <c r="E112" i="36"/>
  <c r="C117" i="36"/>
  <c r="D117" i="36"/>
  <c r="B117" i="36"/>
  <c r="D93" i="36"/>
  <c r="E94" i="36"/>
  <c r="E95" i="36"/>
  <c r="E96" i="36"/>
  <c r="E97" i="36"/>
  <c r="E93" i="36"/>
  <c r="B98" i="36"/>
  <c r="C90" i="36"/>
  <c r="D90" i="36"/>
  <c r="E90" i="36"/>
  <c r="B90" i="36"/>
  <c r="E88" i="36"/>
  <c r="E85" i="36"/>
  <c r="E83" i="36"/>
  <c r="C93" i="36"/>
  <c r="D75" i="36"/>
  <c r="E75" i="36" s="1"/>
  <c r="E76" i="36"/>
  <c r="E77" i="36"/>
  <c r="E78" i="36"/>
  <c r="E74" i="36"/>
  <c r="B79" i="36"/>
  <c r="D56" i="36"/>
  <c r="B52" i="36"/>
  <c r="B60" i="36"/>
  <c r="D38" i="36"/>
  <c r="B41" i="36"/>
  <c r="E39" i="36"/>
  <c r="B33" i="36"/>
  <c r="E29" i="36"/>
  <c r="E30" i="36"/>
  <c r="E31" i="36"/>
  <c r="E32" i="36"/>
  <c r="E28" i="36"/>
  <c r="D19" i="36"/>
  <c r="E168" i="36" l="1"/>
  <c r="E172" i="36"/>
  <c r="E176" i="36" s="1"/>
  <c r="E156" i="36"/>
  <c r="E148" i="36"/>
  <c r="E10" i="36" l="1"/>
  <c r="E11" i="36"/>
  <c r="E12" i="36"/>
  <c r="E13" i="36"/>
  <c r="E9" i="36"/>
  <c r="B14" i="36"/>
  <c r="C17" i="36"/>
  <c r="C22" i="36" s="1"/>
  <c r="B22" i="36"/>
  <c r="D136" i="36"/>
  <c r="C136" i="36"/>
  <c r="E132" i="36"/>
  <c r="D128" i="36"/>
  <c r="C128" i="36"/>
  <c r="E123" i="36"/>
  <c r="E121" i="36"/>
  <c r="D109" i="36"/>
  <c r="E109" i="36"/>
  <c r="D98" i="36"/>
  <c r="C98" i="36"/>
  <c r="C79" i="36"/>
  <c r="D79" i="36"/>
  <c r="D71" i="36"/>
  <c r="C71" i="36"/>
  <c r="E70" i="36"/>
  <c r="E69" i="36"/>
  <c r="E68" i="36"/>
  <c r="E67" i="36"/>
  <c r="E66" i="36"/>
  <c r="E65" i="36"/>
  <c r="E64" i="36"/>
  <c r="C60" i="36"/>
  <c r="E59" i="36"/>
  <c r="E58" i="36"/>
  <c r="D60" i="36"/>
  <c r="E56" i="36"/>
  <c r="E52" i="36"/>
  <c r="C52" i="36"/>
  <c r="E50" i="36"/>
  <c r="E47" i="36"/>
  <c r="C41" i="36"/>
  <c r="E41" i="36" s="1"/>
  <c r="D41" i="36"/>
  <c r="E38" i="36"/>
  <c r="E37" i="36"/>
  <c r="E36" i="36"/>
  <c r="D33" i="36"/>
  <c r="C33" i="36"/>
  <c r="E21" i="36"/>
  <c r="E20" i="36"/>
  <c r="E19" i="36"/>
  <c r="E18" i="36"/>
  <c r="D22" i="36"/>
  <c r="D14" i="36"/>
  <c r="C14" i="36"/>
  <c r="C14" i="34"/>
  <c r="C14" i="33"/>
  <c r="D14" i="32"/>
  <c r="E14" i="32"/>
  <c r="F14" i="32"/>
  <c r="C14" i="32"/>
  <c r="F9" i="32"/>
  <c r="E128" i="36" l="1"/>
  <c r="E117" i="36"/>
  <c r="E98" i="36"/>
  <c r="E14" i="36"/>
  <c r="E33" i="36"/>
  <c r="E71" i="36"/>
  <c r="E22" i="36"/>
  <c r="E17" i="36"/>
  <c r="E40" i="36"/>
  <c r="E57" i="36"/>
  <c r="E60" i="36" s="1"/>
  <c r="E79" i="36"/>
  <c r="B78" i="18"/>
  <c r="F78" i="18"/>
  <c r="B93" i="18"/>
  <c r="F93" i="18"/>
  <c r="F87" i="18"/>
  <c r="G87" i="18"/>
  <c r="F62" i="18"/>
  <c r="F31" i="18"/>
  <c r="F32" i="18" s="1"/>
  <c r="E16" i="2"/>
  <c r="E19" i="2"/>
  <c r="D16" i="2" l="1"/>
  <c r="D19" i="2"/>
  <c r="E37" i="5" l="1"/>
  <c r="F14" i="5" l="1"/>
  <c r="AH90" i="22" l="1"/>
  <c r="AH91" i="22"/>
  <c r="AL91" i="22"/>
  <c r="AL90" i="22"/>
  <c r="AK91" i="22"/>
  <c r="AK90" i="22"/>
  <c r="AG91" i="22"/>
  <c r="AG90" i="22"/>
  <c r="E42" i="4" l="1"/>
  <c r="F42" i="4" s="1"/>
  <c r="M71" i="22"/>
  <c r="D59" i="4"/>
  <c r="D42" i="4"/>
  <c r="C25" i="4"/>
  <c r="F63" i="1"/>
  <c r="G43" i="1"/>
  <c r="G42" i="1"/>
  <c r="G37" i="1"/>
  <c r="G36" i="1"/>
  <c r="F36" i="1"/>
  <c r="E19" i="1"/>
  <c r="F19" i="1"/>
  <c r="AO92" i="26" l="1"/>
  <c r="AT85" i="26"/>
  <c r="X16" i="24"/>
  <c r="AE10" i="24"/>
  <c r="X17" i="24"/>
  <c r="W17" i="24"/>
  <c r="AC11" i="31" l="1"/>
  <c r="AJ11" i="30"/>
  <c r="AH11" i="30"/>
  <c r="AH10" i="26" l="1"/>
  <c r="AM58" i="22" l="1"/>
  <c r="AM59" i="22"/>
  <c r="AM60" i="22"/>
  <c r="AM61" i="22"/>
  <c r="AM63" i="22"/>
  <c r="AM64" i="22"/>
  <c r="AM65" i="22"/>
  <c r="AM66" i="22"/>
  <c r="AM67" i="22"/>
  <c r="AQ64" i="26" l="1"/>
  <c r="AQ65" i="26"/>
  <c r="AQ66" i="26"/>
  <c r="AQ67" i="26"/>
  <c r="AQ68" i="26"/>
  <c r="AQ69" i="26"/>
  <c r="AQ70" i="26"/>
  <c r="AP66" i="26"/>
  <c r="AP67" i="26"/>
  <c r="AP68" i="26"/>
  <c r="F81" i="26" l="1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E81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E80" i="26"/>
  <c r="AP64" i="26"/>
  <c r="AQ59" i="26"/>
  <c r="AQ60" i="26"/>
  <c r="AN71" i="26"/>
  <c r="AP70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AE71" i="26"/>
  <c r="AF71" i="26"/>
  <c r="AG71" i="26"/>
  <c r="AH71" i="26"/>
  <c r="AI71" i="26"/>
  <c r="AJ71" i="26"/>
  <c r="AK71" i="26"/>
  <c r="AL71" i="26"/>
  <c r="AM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E71" i="26"/>
  <c r="AP60" i="26"/>
  <c r="AR60" i="26" l="1"/>
  <c r="AR70" i="26"/>
  <c r="AL14" i="22" l="1"/>
  <c r="AM14" i="22" s="1"/>
  <c r="AK14" i="22"/>
  <c r="AL58" i="22"/>
  <c r="AL59" i="22"/>
  <c r="AL60" i="22"/>
  <c r="AL61" i="22"/>
  <c r="AL62" i="22"/>
  <c r="AM62" i="22" s="1"/>
  <c r="AL63" i="22"/>
  <c r="AL64" i="22"/>
  <c r="AL65" i="22"/>
  <c r="AL66" i="22"/>
  <c r="AL67" i="22"/>
  <c r="AL68" i="22"/>
  <c r="AL69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J29" i="22"/>
  <c r="AJ28" i="22"/>
  <c r="AJ21" i="22"/>
  <c r="AJ20" i="22"/>
  <c r="AJ19" i="22"/>
  <c r="AJ11" i="22"/>
  <c r="AV83" i="26" l="1"/>
  <c r="AV84" i="26"/>
  <c r="AV86" i="26"/>
  <c r="AV87" i="26"/>
  <c r="AV89" i="26"/>
  <c r="AV90" i="26"/>
  <c r="AV92" i="26"/>
  <c r="AV93" i="26"/>
  <c r="F13" i="2" l="1"/>
  <c r="F19" i="5"/>
  <c r="G78" i="18" l="1"/>
  <c r="G93" i="18"/>
  <c r="AP65" i="26" l="1"/>
  <c r="AP59" i="26"/>
  <c r="AR59" i="26" s="1"/>
  <c r="AL51" i="22"/>
  <c r="S70" i="22"/>
  <c r="AK39" i="22" l="1"/>
  <c r="AK40" i="22"/>
  <c r="AK38" i="22"/>
  <c r="AJ40" i="22"/>
  <c r="M70" i="22" l="1"/>
  <c r="AA6" i="25" l="1"/>
  <c r="AD11" i="31" l="1"/>
  <c r="AE11" i="31" s="1"/>
  <c r="F13" i="31"/>
  <c r="AI11" i="30"/>
  <c r="I13" i="30"/>
  <c r="F59" i="1" l="1"/>
  <c r="E15" i="7" l="1"/>
  <c r="G12" i="20" l="1"/>
  <c r="G15" i="20"/>
  <c r="F15" i="20"/>
  <c r="H61" i="18"/>
  <c r="H57" i="18"/>
  <c r="H56" i="18"/>
  <c r="H55" i="18"/>
  <c r="H90" i="18"/>
  <c r="H92" i="18"/>
  <c r="G32" i="18"/>
  <c r="G52" i="18" s="1"/>
  <c r="G40" i="18"/>
  <c r="G62" i="18" l="1"/>
  <c r="G94" i="18" l="1"/>
  <c r="K17" i="2"/>
  <c r="K9" i="2"/>
  <c r="K10" i="2"/>
  <c r="K11" i="2"/>
  <c r="K12" i="2"/>
  <c r="K13" i="2"/>
  <c r="K8" i="2"/>
  <c r="F17" i="2"/>
  <c r="F9" i="2"/>
  <c r="F10" i="2"/>
  <c r="F11" i="2"/>
  <c r="F12" i="2"/>
  <c r="F8" i="2"/>
  <c r="E16" i="5" l="1"/>
  <c r="N71" i="22"/>
  <c r="F25" i="1" l="1"/>
  <c r="F24" i="1" s="1"/>
  <c r="AL85" i="22"/>
  <c r="AL75" i="22"/>
  <c r="P73" i="22"/>
  <c r="P91" i="22" s="1"/>
  <c r="AL76" i="22"/>
  <c r="AL77" i="22"/>
  <c r="AD5" i="31"/>
  <c r="AC5" i="31"/>
  <c r="AI8" i="28"/>
  <c r="L17" i="24"/>
  <c r="AR65" i="26"/>
  <c r="AQ39" i="26"/>
  <c r="AQ45" i="26"/>
  <c r="AQ46" i="26"/>
  <c r="AQ47" i="26"/>
  <c r="AQ48" i="26"/>
  <c r="AQ49" i="26"/>
  <c r="AQ50" i="26"/>
  <c r="AQ51" i="26"/>
  <c r="AQ52" i="26"/>
  <c r="AQ53" i="26"/>
  <c r="AQ54" i="26"/>
  <c r="AQ55" i="26"/>
  <c r="AQ56" i="26"/>
  <c r="AQ57" i="26"/>
  <c r="AQ58" i="26"/>
  <c r="AQ61" i="26"/>
  <c r="AQ62" i="26"/>
  <c r="AQ63" i="26"/>
  <c r="AQ23" i="26"/>
  <c r="AQ24" i="26"/>
  <c r="AQ25" i="26"/>
  <c r="AL40" i="22"/>
  <c r="AL53" i="22"/>
  <c r="AL54" i="22"/>
  <c r="AL55" i="22"/>
  <c r="AL56" i="22"/>
  <c r="AL57" i="22"/>
  <c r="AL44" i="22"/>
  <c r="J70" i="22"/>
  <c r="AM40" i="22" l="1"/>
  <c r="E15" i="20" l="1"/>
  <c r="D15" i="20"/>
  <c r="B15" i="20"/>
  <c r="E93" i="18"/>
  <c r="E87" i="18"/>
  <c r="D87" i="18"/>
  <c r="B87" i="18"/>
  <c r="E62" i="18"/>
  <c r="D52" i="18"/>
  <c r="F40" i="18"/>
  <c r="E40" i="18"/>
  <c r="B40" i="18"/>
  <c r="F52" i="18"/>
  <c r="F94" i="18" s="1"/>
  <c r="E32" i="18"/>
  <c r="B32" i="18"/>
  <c r="B52" i="18" s="1"/>
  <c r="B94" i="18" s="1"/>
  <c r="D94" i="18" l="1"/>
  <c r="E52" i="18"/>
  <c r="E94" i="18" s="1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AF15" i="30"/>
  <c r="AG15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G14" i="30"/>
  <c r="D15" i="30"/>
  <c r="D14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X13" i="30"/>
  <c r="Y13" i="30"/>
  <c r="Z13" i="30"/>
  <c r="AA13" i="30"/>
  <c r="AB13" i="30"/>
  <c r="AC13" i="30"/>
  <c r="AD13" i="30"/>
  <c r="K13" i="30"/>
  <c r="J13" i="30"/>
  <c r="AI10" i="30"/>
  <c r="AH10" i="30"/>
  <c r="AH12" i="30"/>
  <c r="AE10" i="30"/>
  <c r="AE12" i="30"/>
  <c r="AI6" i="27"/>
  <c r="AH6" i="27"/>
  <c r="AP29" i="26"/>
  <c r="AP30" i="26"/>
  <c r="AP31" i="26"/>
  <c r="AP32" i="26"/>
  <c r="AP33" i="26"/>
  <c r="AP34" i="26"/>
  <c r="AP35" i="26"/>
  <c r="AP36" i="26"/>
  <c r="AP37" i="26"/>
  <c r="AP38" i="26"/>
  <c r="AP39" i="26"/>
  <c r="AR39" i="26" s="1"/>
  <c r="AP40" i="26"/>
  <c r="AP41" i="26"/>
  <c r="AP42" i="26"/>
  <c r="AP43" i="26"/>
  <c r="AP44" i="26"/>
  <c r="AP45" i="26"/>
  <c r="AR45" i="26" s="1"/>
  <c r="AP46" i="26"/>
  <c r="AR46" i="26" s="1"/>
  <c r="AP47" i="26"/>
  <c r="AR47" i="26" s="1"/>
  <c r="AP48" i="26"/>
  <c r="AR48" i="26" s="1"/>
  <c r="AP49" i="26"/>
  <c r="AR49" i="26" s="1"/>
  <c r="AP50" i="26"/>
  <c r="AR50" i="26" s="1"/>
  <c r="AP51" i="26"/>
  <c r="AR51" i="26" s="1"/>
  <c r="AP52" i="26"/>
  <c r="AR52" i="26" s="1"/>
  <c r="AP53" i="26"/>
  <c r="AR53" i="26" s="1"/>
  <c r="AP54" i="26"/>
  <c r="AR54" i="26" s="1"/>
  <c r="AP55" i="26"/>
  <c r="AR55" i="26" s="1"/>
  <c r="AP56" i="26"/>
  <c r="AP57" i="26"/>
  <c r="AP58" i="26"/>
  <c r="AP61" i="26"/>
  <c r="AR61" i="26" s="1"/>
  <c r="AP62" i="26"/>
  <c r="AR62" i="26" s="1"/>
  <c r="AP63" i="26"/>
  <c r="AR63" i="26" s="1"/>
  <c r="AP69" i="26"/>
  <c r="AO48" i="26"/>
  <c r="AO49" i="26"/>
  <c r="AO50" i="26"/>
  <c r="AO51" i="26"/>
  <c r="AO52" i="26"/>
  <c r="AO53" i="26"/>
  <c r="AO54" i="26"/>
  <c r="AO55" i="26"/>
  <c r="AO56" i="26"/>
  <c r="AO57" i="26"/>
  <c r="AO58" i="26"/>
  <c r="AO61" i="26"/>
  <c r="AO62" i="26"/>
  <c r="AO63" i="26"/>
  <c r="AO69" i="26"/>
  <c r="AO39" i="26"/>
  <c r="AO40" i="26"/>
  <c r="AO41" i="26"/>
  <c r="AO42" i="26"/>
  <c r="AO43" i="26"/>
  <c r="AO44" i="26"/>
  <c r="AO45" i="26"/>
  <c r="AO46" i="26"/>
  <c r="AO47" i="26"/>
  <c r="AP23" i="26"/>
  <c r="AR23" i="26" s="1"/>
  <c r="AP24" i="26"/>
  <c r="AR24" i="26" s="1"/>
  <c r="AP25" i="26"/>
  <c r="AR25" i="26" s="1"/>
  <c r="AP26" i="26"/>
  <c r="AO25" i="26"/>
  <c r="AO24" i="26"/>
  <c r="AO23" i="26"/>
  <c r="E82" i="26"/>
  <c r="E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Z13" i="31"/>
  <c r="AA13" i="31"/>
  <c r="D13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R15" i="31"/>
  <c r="S15" i="31"/>
  <c r="T15" i="31"/>
  <c r="U15" i="31"/>
  <c r="V15" i="31"/>
  <c r="W15" i="31"/>
  <c r="X15" i="31"/>
  <c r="Y15" i="31"/>
  <c r="Z15" i="31"/>
  <c r="AA15" i="31"/>
  <c r="E14" i="31"/>
  <c r="F14" i="31"/>
  <c r="G14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Z14" i="31"/>
  <c r="AA14" i="31"/>
  <c r="AC14" i="31"/>
  <c r="D15" i="31"/>
  <c r="D14" i="31"/>
  <c r="AD10" i="31"/>
  <c r="AD12" i="31"/>
  <c r="AC10" i="31"/>
  <c r="AC12" i="31"/>
  <c r="AB10" i="31"/>
  <c r="AB12" i="31"/>
  <c r="AC7" i="23"/>
  <c r="AC6" i="23"/>
  <c r="AD6" i="23"/>
  <c r="AB6" i="23"/>
  <c r="AK85" i="22"/>
  <c r="AK80" i="22"/>
  <c r="AK76" i="22"/>
  <c r="AK77" i="22"/>
  <c r="AI76" i="22"/>
  <c r="AI77" i="22"/>
  <c r="AK79" i="22"/>
  <c r="AI79" i="22"/>
  <c r="AJ79" i="22"/>
  <c r="AI80" i="22"/>
  <c r="O73" i="22"/>
  <c r="N73" i="22"/>
  <c r="L71" i="22"/>
  <c r="K71" i="22"/>
  <c r="AL11" i="22"/>
  <c r="AK11" i="22"/>
  <c r="AL19" i="22"/>
  <c r="AL20" i="22"/>
  <c r="AL21" i="22"/>
  <c r="AL22" i="22"/>
  <c r="AK19" i="22"/>
  <c r="AK20" i="22"/>
  <c r="AK21" i="22"/>
  <c r="AL39" i="22"/>
  <c r="AM39" i="22" s="1"/>
  <c r="AI40" i="22"/>
  <c r="AL28" i="22"/>
  <c r="AL29" i="22"/>
  <c r="AK28" i="22"/>
  <c r="AK29" i="22"/>
  <c r="AK44" i="22"/>
  <c r="AM44" i="22" s="1"/>
  <c r="AI44" i="22"/>
  <c r="AI51" i="22"/>
  <c r="AI52" i="22"/>
  <c r="AI53" i="22"/>
  <c r="AI54" i="22"/>
  <c r="AI55" i="22"/>
  <c r="AI56" i="22"/>
  <c r="AI57" i="22"/>
  <c r="AI61" i="22"/>
  <c r="AI62" i="22"/>
  <c r="AI68" i="22"/>
  <c r="AK53" i="22"/>
  <c r="AM53" i="22" s="1"/>
  <c r="AK54" i="22"/>
  <c r="AM54" i="22" s="1"/>
  <c r="AK55" i="22"/>
  <c r="AM55" i="22" s="1"/>
  <c r="AK56" i="22"/>
  <c r="AM56" i="22" s="1"/>
  <c r="AK57" i="22"/>
  <c r="AM57" i="22" s="1"/>
  <c r="AG71" i="22"/>
  <c r="AH71" i="22"/>
  <c r="AF73" i="22"/>
  <c r="AG73" i="22"/>
  <c r="AH73" i="22"/>
  <c r="AI50" i="22"/>
  <c r="AI29" i="22"/>
  <c r="AI28" i="22"/>
  <c r="AI21" i="22"/>
  <c r="AI20" i="22"/>
  <c r="AI19" i="22"/>
  <c r="AI11" i="22"/>
  <c r="C15" i="7"/>
  <c r="AR69" i="26" l="1"/>
  <c r="AM11" i="22"/>
  <c r="AJ10" i="30"/>
  <c r="AJ6" i="27"/>
  <c r="AM29" i="22"/>
  <c r="AM21" i="22"/>
  <c r="AM28" i="22"/>
  <c r="AM20" i="22"/>
  <c r="AM19" i="22"/>
  <c r="AE10" i="31"/>
  <c r="AE12" i="31"/>
  <c r="AE6" i="23"/>
  <c r="D16" i="5"/>
  <c r="C16" i="5"/>
  <c r="D65" i="4"/>
  <c r="C59" i="4"/>
  <c r="D59" i="1"/>
  <c r="E25" i="1"/>
  <c r="D25" i="1"/>
  <c r="E60" i="5" l="1"/>
  <c r="AI82" i="22"/>
  <c r="AI83" i="22"/>
  <c r="G78" i="26" l="1"/>
  <c r="F78" i="26"/>
  <c r="K9" i="7" l="1"/>
  <c r="K10" i="7"/>
  <c r="K13" i="7"/>
  <c r="K8" i="7"/>
  <c r="F9" i="7"/>
  <c r="F14" i="7"/>
  <c r="F17" i="7"/>
  <c r="F8" i="7"/>
  <c r="J15" i="7"/>
  <c r="J22" i="7" s="1"/>
  <c r="E16" i="7"/>
  <c r="J21" i="2"/>
  <c r="J15" i="2"/>
  <c r="E15" i="2"/>
  <c r="J23" i="2" s="1"/>
  <c r="D15" i="2"/>
  <c r="F55" i="4"/>
  <c r="F56" i="4"/>
  <c r="F57" i="4"/>
  <c r="F58" i="4"/>
  <c r="F60" i="4"/>
  <c r="F63" i="4"/>
  <c r="F64" i="4"/>
  <c r="F69" i="4"/>
  <c r="F71" i="4"/>
  <c r="F83" i="4"/>
  <c r="E36" i="4"/>
  <c r="D47" i="4"/>
  <c r="E47" i="4"/>
  <c r="D46" i="4"/>
  <c r="E46" i="4"/>
  <c r="D45" i="4"/>
  <c r="E45" i="4"/>
  <c r="E48" i="4" s="1"/>
  <c r="E59" i="4"/>
  <c r="E54" i="4" s="1"/>
  <c r="E82" i="4"/>
  <c r="D77" i="4"/>
  <c r="E77" i="4"/>
  <c r="E73" i="4"/>
  <c r="F10" i="4"/>
  <c r="F11" i="4"/>
  <c r="F12" i="4"/>
  <c r="F13" i="4"/>
  <c r="F14" i="4"/>
  <c r="F18" i="4"/>
  <c r="F26" i="4"/>
  <c r="F27" i="4"/>
  <c r="F28" i="4"/>
  <c r="F29" i="4"/>
  <c r="F30" i="4"/>
  <c r="F31" i="4"/>
  <c r="F41" i="4"/>
  <c r="E16" i="4"/>
  <c r="E25" i="4"/>
  <c r="E20" i="4"/>
  <c r="E9" i="4"/>
  <c r="F56" i="5"/>
  <c r="F57" i="5"/>
  <c r="F58" i="5"/>
  <c r="F59" i="5"/>
  <c r="F64" i="5"/>
  <c r="F65" i="5"/>
  <c r="F67" i="5"/>
  <c r="F68" i="5"/>
  <c r="F70" i="5"/>
  <c r="F71" i="5"/>
  <c r="E88" i="5"/>
  <c r="E83" i="5"/>
  <c r="E78" i="5"/>
  <c r="E69" i="5"/>
  <c r="E55" i="5"/>
  <c r="E25" i="5"/>
  <c r="E24" i="5" s="1"/>
  <c r="E43" i="5"/>
  <c r="E49" i="5" s="1"/>
  <c r="E94" i="5" s="1"/>
  <c r="F18" i="5"/>
  <c r="F22" i="5"/>
  <c r="F23" i="5"/>
  <c r="F32" i="5"/>
  <c r="F34" i="5"/>
  <c r="F42" i="5"/>
  <c r="E20" i="5"/>
  <c r="E9" i="5"/>
  <c r="E94" i="6"/>
  <c r="F56" i="6"/>
  <c r="F57" i="6"/>
  <c r="F10" i="6"/>
  <c r="E88" i="6"/>
  <c r="E83" i="6"/>
  <c r="E78" i="6"/>
  <c r="E69" i="6"/>
  <c r="E55" i="6"/>
  <c r="E49" i="6"/>
  <c r="E43" i="6"/>
  <c r="E37" i="6"/>
  <c r="E24" i="6"/>
  <c r="E20" i="6"/>
  <c r="E16" i="6"/>
  <c r="E9" i="6"/>
  <c r="E36" i="6" s="1"/>
  <c r="E50" i="6" s="1"/>
  <c r="G55" i="1"/>
  <c r="G56" i="1"/>
  <c r="G57" i="1"/>
  <c r="G58" i="1"/>
  <c r="G60" i="1"/>
  <c r="G63" i="1"/>
  <c r="G64" i="1"/>
  <c r="G66" i="1"/>
  <c r="G67" i="1"/>
  <c r="G69" i="1"/>
  <c r="G70" i="1"/>
  <c r="G71" i="1"/>
  <c r="G83" i="1"/>
  <c r="E42" i="1"/>
  <c r="F42" i="1"/>
  <c r="F73" i="1"/>
  <c r="F15" i="2" l="1"/>
  <c r="E77" i="5"/>
  <c r="E89" i="5" s="1"/>
  <c r="E21" i="2"/>
  <c r="E20" i="7"/>
  <c r="E21" i="7" s="1"/>
  <c r="J22" i="2"/>
  <c r="E77" i="6"/>
  <c r="E87" i="4"/>
  <c r="E68" i="4"/>
  <c r="E76" i="4" s="1"/>
  <c r="E24" i="4"/>
  <c r="J21" i="7"/>
  <c r="E36" i="5"/>
  <c r="J23" i="7" l="1"/>
  <c r="E22" i="2"/>
  <c r="J24" i="2" s="1"/>
  <c r="E93" i="5"/>
  <c r="E50" i="5"/>
  <c r="E93" i="6"/>
  <c r="E89" i="6"/>
  <c r="E93" i="4"/>
  <c r="E88" i="4"/>
  <c r="E35" i="4"/>
  <c r="E92" i="4" l="1"/>
  <c r="E49" i="4"/>
  <c r="F82" i="1"/>
  <c r="F77" i="1"/>
  <c r="F68" i="1"/>
  <c r="G10" i="1"/>
  <c r="G11" i="1"/>
  <c r="G12" i="1"/>
  <c r="G13" i="1"/>
  <c r="G14" i="1"/>
  <c r="G18" i="1"/>
  <c r="G19" i="1"/>
  <c r="G21" i="1"/>
  <c r="G22" i="1"/>
  <c r="G23" i="1"/>
  <c r="G25" i="1"/>
  <c r="G26" i="1"/>
  <c r="G27" i="1"/>
  <c r="G28" i="1"/>
  <c r="G29" i="1"/>
  <c r="G30" i="1"/>
  <c r="G31" i="1"/>
  <c r="G33" i="1"/>
  <c r="G41" i="1"/>
  <c r="F48" i="1"/>
  <c r="F20" i="1"/>
  <c r="F16" i="1"/>
  <c r="F9" i="1"/>
  <c r="F93" i="1" l="1"/>
  <c r="F87" i="1"/>
  <c r="F54" i="1"/>
  <c r="F76" i="1" s="1"/>
  <c r="F35" i="1"/>
  <c r="F49" i="1" s="1"/>
  <c r="F92" i="1" l="1"/>
  <c r="F88" i="1"/>
  <c r="AJ85" i="22"/>
  <c r="AI85" i="22"/>
  <c r="AK50" i="22" l="1"/>
  <c r="P71" i="22" l="1"/>
  <c r="P90" i="22" s="1"/>
  <c r="O71" i="22"/>
  <c r="O90" i="22" s="1"/>
  <c r="J96" i="26"/>
  <c r="J98" i="26"/>
  <c r="G96" i="26"/>
  <c r="G98" i="26"/>
  <c r="AU96" i="26"/>
  <c r="AU97" i="26"/>
  <c r="AU98" i="26"/>
  <c r="AN97" i="26"/>
  <c r="AK97" i="26"/>
  <c r="AH97" i="26"/>
  <c r="AE97" i="26"/>
  <c r="AB97" i="26"/>
  <c r="Y97" i="26"/>
  <c r="V97" i="26"/>
  <c r="S97" i="26"/>
  <c r="P97" i="26"/>
  <c r="M97" i="26"/>
  <c r="J97" i="26"/>
  <c r="G97" i="26"/>
  <c r="AQ86" i="26"/>
  <c r="AQ87" i="26"/>
  <c r="AN85" i="26"/>
  <c r="AK85" i="26"/>
  <c r="AH85" i="26"/>
  <c r="AE85" i="26"/>
  <c r="AB85" i="26"/>
  <c r="Y85" i="26"/>
  <c r="V85" i="26"/>
  <c r="S85" i="26"/>
  <c r="P85" i="26"/>
  <c r="M85" i="26"/>
  <c r="J85" i="26"/>
  <c r="G85" i="26"/>
  <c r="AU85" i="26"/>
  <c r="AH92" i="22"/>
  <c r="AB92" i="22"/>
  <c r="AC92" i="22"/>
  <c r="AD92" i="22"/>
  <c r="AE92" i="22"/>
  <c r="Y92" i="22"/>
  <c r="V92" i="22"/>
  <c r="S92" i="22"/>
  <c r="P92" i="22"/>
  <c r="M92" i="22"/>
  <c r="J92" i="22"/>
  <c r="G92" i="22"/>
  <c r="AL79" i="22"/>
  <c r="AH78" i="22"/>
  <c r="AC78" i="22"/>
  <c r="AD78" i="22"/>
  <c r="AE78" i="22"/>
  <c r="AC84" i="22"/>
  <c r="AD84" i="22"/>
  <c r="AE84" i="22"/>
  <c r="AB78" i="22"/>
  <c r="Y78" i="22"/>
  <c r="V78" i="22"/>
  <c r="S78" i="22"/>
  <c r="P78" i="22"/>
  <c r="M78" i="22"/>
  <c r="J78" i="22"/>
  <c r="G78" i="22"/>
  <c r="AQ83" i="26"/>
  <c r="AQ84" i="26"/>
  <c r="AQ97" i="26" s="1"/>
  <c r="AM82" i="26"/>
  <c r="AN82" i="26"/>
  <c r="AJ82" i="26"/>
  <c r="AK82" i="26"/>
  <c r="AG82" i="26"/>
  <c r="AH82" i="26"/>
  <c r="AE82" i="26"/>
  <c r="Y82" i="26"/>
  <c r="V82" i="26"/>
  <c r="AN96" i="26"/>
  <c r="AN98" i="26"/>
  <c r="AK96" i="26"/>
  <c r="AK98" i="26"/>
  <c r="AH96" i="26"/>
  <c r="AH98" i="26"/>
  <c r="AE96" i="26"/>
  <c r="AE98" i="26"/>
  <c r="AB96" i="26"/>
  <c r="AB98" i="26"/>
  <c r="Y96" i="26"/>
  <c r="Y98" i="26"/>
  <c r="V96" i="26"/>
  <c r="V98" i="26"/>
  <c r="P96" i="26"/>
  <c r="P98" i="26"/>
  <c r="M98" i="26"/>
  <c r="S98" i="26"/>
  <c r="S82" i="26"/>
  <c r="P82" i="26"/>
  <c r="M82" i="26"/>
  <c r="J82" i="26"/>
  <c r="G82" i="26"/>
  <c r="AU82" i="26"/>
  <c r="AL74" i="22"/>
  <c r="AH74" i="22"/>
  <c r="AC74" i="22"/>
  <c r="AD74" i="22"/>
  <c r="AE74" i="22"/>
  <c r="AB74" i="22"/>
  <c r="Y74" i="22"/>
  <c r="V74" i="22"/>
  <c r="S74" i="22"/>
  <c r="P74" i="22"/>
  <c r="M74" i="22"/>
  <c r="J74" i="22"/>
  <c r="G74" i="22"/>
  <c r="AQ92" i="26"/>
  <c r="AQ93" i="26"/>
  <c r="AN91" i="26"/>
  <c r="AK91" i="26"/>
  <c r="AH91" i="26"/>
  <c r="AE91" i="26"/>
  <c r="AB91" i="26"/>
  <c r="Y91" i="26"/>
  <c r="V91" i="26"/>
  <c r="S91" i="26"/>
  <c r="P91" i="26"/>
  <c r="M91" i="26"/>
  <c r="J91" i="26"/>
  <c r="G91" i="26"/>
  <c r="AU91" i="26"/>
  <c r="AL86" i="22"/>
  <c r="AL84" i="22" s="1"/>
  <c r="AH84" i="22"/>
  <c r="AB84" i="22"/>
  <c r="Y84" i="22"/>
  <c r="V84" i="22"/>
  <c r="S84" i="22"/>
  <c r="P84" i="22"/>
  <c r="M84" i="22"/>
  <c r="J84" i="22"/>
  <c r="G84" i="22"/>
  <c r="AQ89" i="26"/>
  <c r="AQ90" i="26"/>
  <c r="AM88" i="26"/>
  <c r="AN88" i="26"/>
  <c r="AJ88" i="26"/>
  <c r="AK88" i="26"/>
  <c r="AG88" i="26"/>
  <c r="AH88" i="26"/>
  <c r="AE88" i="26"/>
  <c r="Y88" i="26"/>
  <c r="V88" i="26"/>
  <c r="S88" i="26"/>
  <c r="P88" i="26"/>
  <c r="M88" i="26"/>
  <c r="J88" i="26"/>
  <c r="G88" i="26"/>
  <c r="AD17" i="28"/>
  <c r="AD18" i="28"/>
  <c r="AD19" i="28"/>
  <c r="AA17" i="28"/>
  <c r="AA18" i="28"/>
  <c r="AA19" i="28"/>
  <c r="X17" i="28"/>
  <c r="X18" i="28"/>
  <c r="X19" i="28"/>
  <c r="U17" i="28"/>
  <c r="U18" i="28"/>
  <c r="U19" i="28"/>
  <c r="R17" i="28"/>
  <c r="R18" i="28"/>
  <c r="R19" i="28"/>
  <c r="O17" i="28"/>
  <c r="O18" i="28"/>
  <c r="O19" i="28"/>
  <c r="L17" i="28"/>
  <c r="L18" i="28"/>
  <c r="L19" i="28"/>
  <c r="I17" i="28"/>
  <c r="I18" i="28"/>
  <c r="I19" i="28"/>
  <c r="F17" i="28"/>
  <c r="F18" i="28"/>
  <c r="F19" i="28"/>
  <c r="AU88" i="26"/>
  <c r="AL82" i="22"/>
  <c r="AL83" i="22"/>
  <c r="AH81" i="22"/>
  <c r="AC81" i="22"/>
  <c r="AD81" i="22"/>
  <c r="AE81" i="22"/>
  <c r="AB81" i="22"/>
  <c r="Y81" i="22"/>
  <c r="V81" i="22"/>
  <c r="S81" i="22"/>
  <c r="P81" i="22"/>
  <c r="M81" i="22"/>
  <c r="J81" i="22"/>
  <c r="G81" i="22"/>
  <c r="S96" i="26"/>
  <c r="AQ5" i="26"/>
  <c r="AQ6" i="26"/>
  <c r="AQ7" i="26"/>
  <c r="AQ8" i="26"/>
  <c r="AQ9" i="26"/>
  <c r="AQ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6" i="26"/>
  <c r="AQ81" i="26" s="1"/>
  <c r="AQ27" i="26"/>
  <c r="AQ28" i="26"/>
  <c r="AQ29" i="26"/>
  <c r="AQ31" i="26"/>
  <c r="AQ32" i="26"/>
  <c r="AQ33" i="26"/>
  <c r="AQ34" i="26"/>
  <c r="AQ35" i="26"/>
  <c r="AQ36" i="26"/>
  <c r="AQ37" i="26"/>
  <c r="AQ38" i="26"/>
  <c r="AQ40" i="26"/>
  <c r="AR40" i="26" s="1"/>
  <c r="AQ41" i="26"/>
  <c r="AR41" i="26" s="1"/>
  <c r="AQ42" i="26"/>
  <c r="AR42" i="26" s="1"/>
  <c r="AQ43" i="26"/>
  <c r="AR43" i="26" s="1"/>
  <c r="AQ44" i="26"/>
  <c r="AR44" i="26" l="1"/>
  <c r="AQ80" i="26"/>
  <c r="AQ85" i="26"/>
  <c r="AL78" i="22"/>
  <c r="AM79" i="22"/>
  <c r="S99" i="26"/>
  <c r="J94" i="26"/>
  <c r="P94" i="26"/>
  <c r="Y94" i="26"/>
  <c r="AH94" i="26"/>
  <c r="AQ88" i="26"/>
  <c r="P99" i="26"/>
  <c r="Y99" i="26"/>
  <c r="AB99" i="26"/>
  <c r="AE99" i="26"/>
  <c r="AH99" i="26"/>
  <c r="AK99" i="26"/>
  <c r="AQ82" i="26"/>
  <c r="AH93" i="22"/>
  <c r="AU94" i="26"/>
  <c r="AB94" i="26"/>
  <c r="AQ91" i="26"/>
  <c r="G94" i="26"/>
  <c r="S94" i="26"/>
  <c r="AN94" i="26"/>
  <c r="AK94" i="26"/>
  <c r="AE94" i="26"/>
  <c r="V94" i="26"/>
  <c r="G99" i="26"/>
  <c r="AQ98" i="26"/>
  <c r="AL81" i="22"/>
  <c r="P93" i="22"/>
  <c r="M94" i="26"/>
  <c r="V99" i="26"/>
  <c r="AN99" i="26"/>
  <c r="J99" i="26"/>
  <c r="AU99" i="26"/>
  <c r="M96" i="26"/>
  <c r="M99" i="26" s="1"/>
  <c r="AQ30" i="26"/>
  <c r="AQ71" i="26" l="1"/>
  <c r="AU100" i="26" s="1"/>
  <c r="AQ96" i="26"/>
  <c r="AQ94" i="26" l="1"/>
  <c r="AQ99" i="26"/>
  <c r="AM85" i="22" l="1"/>
  <c r="AJ20" i="28"/>
  <c r="X18" i="24"/>
  <c r="X19" i="24"/>
  <c r="AA17" i="24"/>
  <c r="AA18" i="24"/>
  <c r="AA19" i="24"/>
  <c r="AE13" i="24"/>
  <c r="AE5" i="24"/>
  <c r="AE6" i="24"/>
  <c r="AE7" i="24"/>
  <c r="AE8" i="24"/>
  <c r="AE9" i="24"/>
  <c r="AE11" i="24"/>
  <c r="AE12" i="24"/>
  <c r="AE14" i="24"/>
  <c r="AE15" i="24"/>
  <c r="AE16" i="24"/>
  <c r="AE19" i="24" s="1"/>
  <c r="U17" i="24"/>
  <c r="U18" i="24"/>
  <c r="U19" i="24"/>
  <c r="R17" i="24"/>
  <c r="R18" i="24"/>
  <c r="R19" i="24"/>
  <c r="O17" i="24"/>
  <c r="O18" i="24"/>
  <c r="O19" i="24"/>
  <c r="L18" i="24"/>
  <c r="L19" i="24"/>
  <c r="I17" i="24"/>
  <c r="I18" i="24"/>
  <c r="I19" i="24"/>
  <c r="F17" i="24"/>
  <c r="F18" i="24"/>
  <c r="F19" i="24"/>
  <c r="AC71" i="22"/>
  <c r="AC90" i="22" s="1"/>
  <c r="AD71" i="22"/>
  <c r="AD90" i="22" s="1"/>
  <c r="AE71" i="22"/>
  <c r="AE90" i="22" s="1"/>
  <c r="AC73" i="22"/>
  <c r="AC91" i="22" s="1"/>
  <c r="AD73" i="22"/>
  <c r="AD91" i="22" s="1"/>
  <c r="AE73" i="22"/>
  <c r="AE91" i="22" s="1"/>
  <c r="AC70" i="22"/>
  <c r="AC88" i="22" s="1"/>
  <c r="AD70" i="22"/>
  <c r="AD88" i="22" s="1"/>
  <c r="AH70" i="22"/>
  <c r="AH88" i="22" s="1"/>
  <c r="AE70" i="22"/>
  <c r="AE88" i="22" s="1"/>
  <c r="AB70" i="22"/>
  <c r="AB88" i="22" s="1"/>
  <c r="AB71" i="22"/>
  <c r="AB90" i="22" s="1"/>
  <c r="AB73" i="22"/>
  <c r="AB91" i="22" s="1"/>
  <c r="Y70" i="22"/>
  <c r="Y88" i="22" s="1"/>
  <c r="Y71" i="22"/>
  <c r="Y90" i="22" s="1"/>
  <c r="Y73" i="22"/>
  <c r="Y91" i="22" s="1"/>
  <c r="V70" i="22"/>
  <c r="V88" i="22" s="1"/>
  <c r="V71" i="22"/>
  <c r="V90" i="22" s="1"/>
  <c r="V73" i="22"/>
  <c r="V91" i="22" s="1"/>
  <c r="S88" i="22"/>
  <c r="S71" i="22"/>
  <c r="S90" i="22" s="1"/>
  <c r="S73" i="22"/>
  <c r="S91" i="22" s="1"/>
  <c r="P70" i="22"/>
  <c r="P88" i="22" s="1"/>
  <c r="J88" i="22"/>
  <c r="J71" i="22"/>
  <c r="J90" i="22" s="1"/>
  <c r="J73" i="22"/>
  <c r="J91" i="22" s="1"/>
  <c r="G70" i="22"/>
  <c r="G88" i="22" s="1"/>
  <c r="G71" i="22"/>
  <c r="G73" i="22"/>
  <c r="G91" i="22" s="1"/>
  <c r="AL50" i="22"/>
  <c r="AM50" i="22" s="1"/>
  <c r="AL41" i="22"/>
  <c r="AL42" i="22"/>
  <c r="AL43" i="22"/>
  <c r="AL45" i="22"/>
  <c r="AL46" i="22"/>
  <c r="AL47" i="22"/>
  <c r="AL48" i="22"/>
  <c r="AL49" i="22"/>
  <c r="AL52" i="22"/>
  <c r="AL72" i="22"/>
  <c r="AL92" i="22" s="1"/>
  <c r="AL5" i="22"/>
  <c r="AL6" i="22"/>
  <c r="AL7" i="22"/>
  <c r="AL8" i="22"/>
  <c r="AL9" i="22"/>
  <c r="AL10" i="22"/>
  <c r="AL12" i="22"/>
  <c r="AL13" i="22"/>
  <c r="AL15" i="22"/>
  <c r="AL16" i="22"/>
  <c r="AL17" i="22"/>
  <c r="AL18" i="22"/>
  <c r="AL23" i="22"/>
  <c r="AL24" i="22"/>
  <c r="AL25" i="22"/>
  <c r="AL26" i="22"/>
  <c r="AL27" i="22"/>
  <c r="AL30" i="22"/>
  <c r="AL32" i="22"/>
  <c r="AL33" i="22"/>
  <c r="AL34" i="22"/>
  <c r="AL35" i="22"/>
  <c r="AL36" i="22"/>
  <c r="AL37" i="22"/>
  <c r="AL38" i="22"/>
  <c r="AM38" i="22" s="1"/>
  <c r="M73" i="22"/>
  <c r="M90" i="22" s="1"/>
  <c r="AI5" i="28"/>
  <c r="AI6" i="28"/>
  <c r="AI7" i="28"/>
  <c r="AI9" i="28"/>
  <c r="AI10" i="28"/>
  <c r="AI11" i="28"/>
  <c r="AI12" i="28"/>
  <c r="AI13" i="28"/>
  <c r="AI14" i="28"/>
  <c r="AI15" i="28"/>
  <c r="AI16" i="28"/>
  <c r="AJ11" i="27"/>
  <c r="AJ16" i="30"/>
  <c r="AJ10" i="29"/>
  <c r="X8" i="25"/>
  <c r="X9" i="25"/>
  <c r="AA5" i="25"/>
  <c r="AA8" i="25" s="1"/>
  <c r="AA9" i="25"/>
  <c r="X7" i="25"/>
  <c r="T7" i="25"/>
  <c r="U7" i="25"/>
  <c r="T8" i="25"/>
  <c r="U8" i="25"/>
  <c r="T9" i="25"/>
  <c r="U9" i="25"/>
  <c r="Q7" i="25"/>
  <c r="R7" i="25"/>
  <c r="Q8" i="25"/>
  <c r="R8" i="25"/>
  <c r="Q9" i="25"/>
  <c r="R9" i="25"/>
  <c r="O7" i="25"/>
  <c r="O8" i="25"/>
  <c r="O9" i="25"/>
  <c r="N7" i="25"/>
  <c r="N8" i="25"/>
  <c r="N9" i="25"/>
  <c r="K7" i="25"/>
  <c r="L7" i="25"/>
  <c r="K8" i="25"/>
  <c r="L8" i="25"/>
  <c r="K9" i="25"/>
  <c r="L9" i="25"/>
  <c r="H7" i="25"/>
  <c r="I7" i="25"/>
  <c r="H8" i="25"/>
  <c r="I8" i="25"/>
  <c r="H9" i="25"/>
  <c r="I9" i="25"/>
  <c r="E7" i="25"/>
  <c r="F7" i="25"/>
  <c r="AA7" i="25" s="1"/>
  <c r="E8" i="25"/>
  <c r="F8" i="25"/>
  <c r="E9" i="25"/>
  <c r="F9" i="25"/>
  <c r="AI5" i="29"/>
  <c r="AI6" i="29"/>
  <c r="AI8" i="29"/>
  <c r="AI9" i="29"/>
  <c r="AD7" i="29"/>
  <c r="AD8" i="29"/>
  <c r="AD9" i="29"/>
  <c r="AA7" i="29"/>
  <c r="AA8" i="29"/>
  <c r="AA9" i="29"/>
  <c r="X7" i="29"/>
  <c r="X8" i="29"/>
  <c r="X9" i="29"/>
  <c r="U7" i="29"/>
  <c r="U8" i="29"/>
  <c r="U9" i="29"/>
  <c r="R7" i="29"/>
  <c r="R8" i="29"/>
  <c r="R9" i="29"/>
  <c r="O7" i="29"/>
  <c r="O8" i="29"/>
  <c r="O9" i="29"/>
  <c r="L8" i="29"/>
  <c r="L9" i="29"/>
  <c r="I7" i="29"/>
  <c r="I8" i="29"/>
  <c r="I9" i="29"/>
  <c r="F8" i="29"/>
  <c r="F9" i="29"/>
  <c r="F7" i="29"/>
  <c r="L7" i="29"/>
  <c r="S93" i="22" l="1"/>
  <c r="AI7" i="29"/>
  <c r="AI18" i="28"/>
  <c r="AI19" i="28"/>
  <c r="J93" i="22"/>
  <c r="Y93" i="22"/>
  <c r="AL71" i="22"/>
  <c r="G90" i="22"/>
  <c r="G93" i="22" s="1"/>
  <c r="V93" i="22"/>
  <c r="AB93" i="22"/>
  <c r="AD93" i="22"/>
  <c r="AL73" i="22"/>
  <c r="M91" i="22"/>
  <c r="M93" i="22" s="1"/>
  <c r="AE93" i="22"/>
  <c r="AC93" i="22"/>
  <c r="AE18" i="24"/>
  <c r="AE17" i="24"/>
  <c r="AL31" i="22"/>
  <c r="M88" i="22"/>
  <c r="AI17" i="28"/>
  <c r="AI12" i="30"/>
  <c r="AJ12" i="30" s="1"/>
  <c r="AI5" i="30"/>
  <c r="AI6" i="30"/>
  <c r="AI7" i="30"/>
  <c r="AI8" i="30"/>
  <c r="AI9" i="30"/>
  <c r="F13" i="30"/>
  <c r="E13" i="30"/>
  <c r="AD6" i="31"/>
  <c r="AD7" i="31"/>
  <c r="AD8" i="31"/>
  <c r="AD9" i="31"/>
  <c r="AI5" i="27"/>
  <c r="AI7" i="27"/>
  <c r="AI9" i="27"/>
  <c r="AI10" i="27"/>
  <c r="AD8" i="27"/>
  <c r="AD9" i="27"/>
  <c r="AD10" i="27"/>
  <c r="AA8" i="27"/>
  <c r="AA9" i="27"/>
  <c r="AA10" i="27"/>
  <c r="X8" i="27"/>
  <c r="X9" i="27"/>
  <c r="X10" i="27"/>
  <c r="U9" i="27"/>
  <c r="U10" i="27"/>
  <c r="U8" i="27"/>
  <c r="R8" i="27"/>
  <c r="R9" i="27"/>
  <c r="R10" i="27"/>
  <c r="O8" i="27"/>
  <c r="O9" i="27"/>
  <c r="O10" i="27"/>
  <c r="L9" i="27"/>
  <c r="L10" i="27"/>
  <c r="L8" i="27"/>
  <c r="I10" i="27"/>
  <c r="I9" i="27"/>
  <c r="I8" i="27"/>
  <c r="F10" i="27"/>
  <c r="F9" i="27"/>
  <c r="F8" i="27"/>
  <c r="AD5" i="23"/>
  <c r="AD7" i="23"/>
  <c r="AD9" i="23" s="1"/>
  <c r="AD10" i="23"/>
  <c r="AC5" i="23"/>
  <c r="AA9" i="23"/>
  <c r="AA10" i="23"/>
  <c r="X9" i="23"/>
  <c r="X10" i="23"/>
  <c r="X8" i="23"/>
  <c r="U8" i="23"/>
  <c r="U9" i="23"/>
  <c r="U10" i="23"/>
  <c r="R8" i="23"/>
  <c r="R9" i="23"/>
  <c r="R10" i="23"/>
  <c r="O8" i="23"/>
  <c r="O9" i="23"/>
  <c r="O10" i="23"/>
  <c r="L8" i="23"/>
  <c r="L9" i="23"/>
  <c r="L10" i="23"/>
  <c r="I9" i="23"/>
  <c r="I10" i="23"/>
  <c r="I8" i="23"/>
  <c r="F10" i="23"/>
  <c r="F9" i="23"/>
  <c r="F8" i="23"/>
  <c r="AA8" i="23"/>
  <c r="AL70" i="22" l="1"/>
  <c r="AL88" i="22" s="1"/>
  <c r="AI8" i="27"/>
  <c r="AD8" i="23"/>
  <c r="AD13" i="31"/>
  <c r="AD14" i="31"/>
  <c r="AI13" i="30"/>
  <c r="AI15" i="30"/>
  <c r="AD15" i="31"/>
  <c r="AE5" i="23"/>
  <c r="AL93" i="22"/>
  <c r="AI14" i="30"/>
  <c r="D15" i="7" l="1"/>
  <c r="F12" i="5"/>
  <c r="E73" i="1"/>
  <c r="F15" i="7" l="1"/>
  <c r="AP9" i="26"/>
  <c r="AR9" i="26" s="1"/>
  <c r="AP10" i="26"/>
  <c r="AR10" i="26" s="1"/>
  <c r="AP11" i="26"/>
  <c r="AR11" i="26" s="1"/>
  <c r="AP12" i="26"/>
  <c r="AP13" i="26"/>
  <c r="AR13" i="26" s="1"/>
  <c r="AP14" i="26"/>
  <c r="AR14" i="26" s="1"/>
  <c r="AP15" i="26"/>
  <c r="AR15" i="26" s="1"/>
  <c r="AP16" i="26"/>
  <c r="AP17" i="26"/>
  <c r="AR17" i="26" s="1"/>
  <c r="AP19" i="26"/>
  <c r="AR19" i="26" s="1"/>
  <c r="AP20" i="26"/>
  <c r="AR20" i="26" s="1"/>
  <c r="AP21" i="26"/>
  <c r="AR21" i="26" s="1"/>
  <c r="AP22" i="26"/>
  <c r="AR22" i="26" s="1"/>
  <c r="AR34" i="26"/>
  <c r="AR35" i="26"/>
  <c r="AR36" i="26"/>
  <c r="AR37" i="26"/>
  <c r="AR56" i="26"/>
  <c r="AR57" i="26"/>
  <c r="AR58" i="26"/>
  <c r="AP5" i="26"/>
  <c r="AR5" i="26" s="1"/>
  <c r="AR12" i="26" l="1"/>
  <c r="AP71" i="26"/>
  <c r="AR16" i="26"/>
  <c r="AR38" i="26"/>
  <c r="AR33" i="26"/>
  <c r="AR32" i="26"/>
  <c r="AR31" i="26"/>
  <c r="AR29" i="26"/>
  <c r="AP8" i="26"/>
  <c r="AR8" i="26" s="1"/>
  <c r="AP18" i="26"/>
  <c r="AP7" i="26"/>
  <c r="AR7" i="26" s="1"/>
  <c r="AC6" i="31"/>
  <c r="AC7" i="31"/>
  <c r="AE7" i="31" s="1"/>
  <c r="AC8" i="31"/>
  <c r="AE8" i="31" s="1"/>
  <c r="AC9" i="31"/>
  <c r="AE9" i="31" s="1"/>
  <c r="AH5" i="30"/>
  <c r="AH14" i="30" s="1"/>
  <c r="AH6" i="30"/>
  <c r="AH7" i="30"/>
  <c r="AJ7" i="30" s="1"/>
  <c r="AH9" i="30"/>
  <c r="AJ9" i="30" s="1"/>
  <c r="AH8" i="30"/>
  <c r="AJ8" i="30" s="1"/>
  <c r="H13" i="30"/>
  <c r="AF5" i="30"/>
  <c r="N92" i="22"/>
  <c r="O92" i="22"/>
  <c r="N91" i="22"/>
  <c r="N90" i="22"/>
  <c r="N84" i="22"/>
  <c r="O84" i="22"/>
  <c r="N81" i="22"/>
  <c r="O81" i="22"/>
  <c r="N78" i="22"/>
  <c r="O78" i="22"/>
  <c r="I74" i="22"/>
  <c r="L74" i="22"/>
  <c r="N74" i="22"/>
  <c r="O74" i="22"/>
  <c r="Q74" i="22"/>
  <c r="R74" i="22"/>
  <c r="T74" i="22"/>
  <c r="U74" i="22"/>
  <c r="W74" i="22"/>
  <c r="X74" i="22"/>
  <c r="Z74" i="22"/>
  <c r="AA74" i="22"/>
  <c r="AK72" i="22"/>
  <c r="AK52" i="22"/>
  <c r="AM52" i="22" s="1"/>
  <c r="O91" i="22"/>
  <c r="O93" i="22" s="1"/>
  <c r="N70" i="22"/>
  <c r="O70" i="22"/>
  <c r="AR18" i="26" l="1"/>
  <c r="AP81" i="26"/>
  <c r="AC15" i="31"/>
  <c r="AE15" i="31" s="1"/>
  <c r="AC13" i="31"/>
  <c r="AF14" i="30"/>
  <c r="AF13" i="30"/>
  <c r="AH15" i="30"/>
  <c r="AJ15" i="30" s="1"/>
  <c r="AH13" i="30"/>
  <c r="N93" i="22"/>
  <c r="AJ14" i="30"/>
  <c r="AJ5" i="30"/>
  <c r="AJ6" i="30"/>
  <c r="AE13" i="31"/>
  <c r="AE14" i="31"/>
  <c r="AE5" i="31"/>
  <c r="AE6" i="31"/>
  <c r="AK92" i="22"/>
  <c r="AM92" i="22" s="1"/>
  <c r="AM72" i="22"/>
  <c r="N88" i="22"/>
  <c r="O88" i="22"/>
  <c r="AJ13" i="30"/>
  <c r="AK51" i="22"/>
  <c r="AM51" i="22" s="1"/>
  <c r="Z92" i="22"/>
  <c r="AA92" i="22"/>
  <c r="Z84" i="22"/>
  <c r="AA84" i="22"/>
  <c r="Z81" i="22"/>
  <c r="AA81" i="22"/>
  <c r="Z78" i="22"/>
  <c r="AA78" i="22"/>
  <c r="Z73" i="22"/>
  <c r="Z91" i="22" s="1"/>
  <c r="AA73" i="22"/>
  <c r="Z71" i="22"/>
  <c r="Z90" i="22" s="1"/>
  <c r="AA71" i="22"/>
  <c r="AA90" i="22" s="1"/>
  <c r="Z70" i="22"/>
  <c r="Z88" i="22" s="1"/>
  <c r="AA70" i="22"/>
  <c r="AA88" i="22" s="1"/>
  <c r="AR26" i="26"/>
  <c r="Z93" i="22" l="1"/>
  <c r="AA91" i="22"/>
  <c r="AA93" i="22" s="1"/>
  <c r="I15" i="7"/>
  <c r="D22" i="7" s="1"/>
  <c r="D16" i="7"/>
  <c r="I21" i="2"/>
  <c r="K21" i="2" s="1"/>
  <c r="I15" i="2"/>
  <c r="D94" i="6"/>
  <c r="D83" i="6"/>
  <c r="D78" i="6"/>
  <c r="D88" i="6" s="1"/>
  <c r="D69" i="6"/>
  <c r="D55" i="6"/>
  <c r="D43" i="6"/>
  <c r="D37" i="6"/>
  <c r="D49" i="6" s="1"/>
  <c r="D24" i="6"/>
  <c r="D20" i="6"/>
  <c r="D16" i="6"/>
  <c r="D9" i="6"/>
  <c r="D83" i="5"/>
  <c r="D78" i="5"/>
  <c r="D88" i="5" s="1"/>
  <c r="D69" i="5"/>
  <c r="F69" i="5" s="1"/>
  <c r="D66" i="5"/>
  <c r="F66" i="5" s="1"/>
  <c r="D60" i="5"/>
  <c r="F60" i="5" s="1"/>
  <c r="D43" i="5"/>
  <c r="D37" i="5"/>
  <c r="D49" i="5" s="1"/>
  <c r="D25" i="5"/>
  <c r="D24" i="5" s="1"/>
  <c r="D20" i="5"/>
  <c r="F20" i="5" s="1"/>
  <c r="F16" i="5"/>
  <c r="D9" i="5"/>
  <c r="D82" i="4"/>
  <c r="F82" i="4" s="1"/>
  <c r="D73" i="4"/>
  <c r="AI72" i="22"/>
  <c r="D20" i="4"/>
  <c r="D36" i="4"/>
  <c r="D48" i="4" s="1"/>
  <c r="F48" i="4" s="1"/>
  <c r="D32" i="4"/>
  <c r="D25" i="4"/>
  <c r="D16" i="4"/>
  <c r="F16" i="4" s="1"/>
  <c r="D9" i="4"/>
  <c r="F9" i="4" s="1"/>
  <c r="E82" i="1"/>
  <c r="G82" i="1" s="1"/>
  <c r="E77" i="1"/>
  <c r="E68" i="1"/>
  <c r="G68" i="1" s="1"/>
  <c r="E65" i="1"/>
  <c r="G65" i="1" s="1"/>
  <c r="E59" i="1"/>
  <c r="G59" i="1" s="1"/>
  <c r="L92" i="22"/>
  <c r="E36" i="1"/>
  <c r="E48" i="1" s="1"/>
  <c r="G48" i="1" s="1"/>
  <c r="E24" i="1"/>
  <c r="G24" i="1" s="1"/>
  <c r="E20" i="1"/>
  <c r="E16" i="1"/>
  <c r="G16" i="1" s="1"/>
  <c r="E9" i="1"/>
  <c r="G9" i="1" s="1"/>
  <c r="G20" i="1" l="1"/>
  <c r="E35" i="1"/>
  <c r="E49" i="1" s="1"/>
  <c r="K15" i="2"/>
  <c r="D23" i="2"/>
  <c r="D21" i="2"/>
  <c r="F21" i="2" s="1"/>
  <c r="F16" i="2"/>
  <c r="F25" i="4"/>
  <c r="D24" i="4"/>
  <c r="F24" i="4" s="1"/>
  <c r="I21" i="7"/>
  <c r="K21" i="7" s="1"/>
  <c r="K15" i="7"/>
  <c r="D20" i="7"/>
  <c r="F16" i="7"/>
  <c r="D36" i="6"/>
  <c r="F9" i="6"/>
  <c r="D77" i="6"/>
  <c r="F55" i="6"/>
  <c r="D87" i="4"/>
  <c r="F87" i="4" s="1"/>
  <c r="D68" i="4"/>
  <c r="F68" i="4" s="1"/>
  <c r="D54" i="4"/>
  <c r="F54" i="4" s="1"/>
  <c r="F59" i="4"/>
  <c r="E87" i="1"/>
  <c r="G87" i="1" s="1"/>
  <c r="D94" i="5"/>
  <c r="F49" i="5"/>
  <c r="D36" i="5"/>
  <c r="F9" i="5"/>
  <c r="I22" i="2"/>
  <c r="K22" i="2" s="1"/>
  <c r="D55" i="5"/>
  <c r="E54" i="1"/>
  <c r="G35" i="1"/>
  <c r="AK86" i="22"/>
  <c r="AJ92" i="22"/>
  <c r="AG92" i="22"/>
  <c r="X92" i="22"/>
  <c r="U92" i="22"/>
  <c r="R92" i="22"/>
  <c r="I92" i="22"/>
  <c r="F92" i="22"/>
  <c r="AJ86" i="22"/>
  <c r="AJ84" i="22" s="1"/>
  <c r="AI86" i="22"/>
  <c r="AG84" i="22"/>
  <c r="X84" i="22"/>
  <c r="F84" i="22"/>
  <c r="H84" i="22"/>
  <c r="I84" i="22"/>
  <c r="K84" i="22"/>
  <c r="L84" i="22"/>
  <c r="Q84" i="22"/>
  <c r="R84" i="22"/>
  <c r="T84" i="22"/>
  <c r="U84" i="22"/>
  <c r="AT96" i="26"/>
  <c r="AV96" i="26" s="1"/>
  <c r="AT97" i="26"/>
  <c r="AV97" i="26" s="1"/>
  <c r="AT98" i="26"/>
  <c r="AV98" i="26" s="1"/>
  <c r="AM97" i="26"/>
  <c r="AJ97" i="26"/>
  <c r="AG97" i="26"/>
  <c r="AD97" i="26"/>
  <c r="AA97" i="26"/>
  <c r="X97" i="26"/>
  <c r="U97" i="26"/>
  <c r="R97" i="26"/>
  <c r="O97" i="26"/>
  <c r="L97" i="26"/>
  <c r="I97" i="26"/>
  <c r="AM96" i="26"/>
  <c r="AM98" i="26"/>
  <c r="AJ96" i="26"/>
  <c r="AG96" i="26"/>
  <c r="AG98" i="26"/>
  <c r="AD98" i="26"/>
  <c r="AA96" i="26"/>
  <c r="AA98" i="26"/>
  <c r="X96" i="26"/>
  <c r="X98" i="26"/>
  <c r="U96" i="26"/>
  <c r="U98" i="26"/>
  <c r="R98" i="26"/>
  <c r="O96" i="26"/>
  <c r="O98" i="26"/>
  <c r="L96" i="26"/>
  <c r="L98" i="26"/>
  <c r="I98" i="26"/>
  <c r="F98" i="26"/>
  <c r="F97" i="26"/>
  <c r="AT91" i="26"/>
  <c r="AV91" i="26" s="1"/>
  <c r="AP93" i="26"/>
  <c r="AR93" i="26" s="1"/>
  <c r="AO93" i="26"/>
  <c r="O91" i="26"/>
  <c r="Q91" i="26"/>
  <c r="R91" i="26"/>
  <c r="T91" i="26"/>
  <c r="U91" i="26"/>
  <c r="W91" i="26"/>
  <c r="X91" i="26"/>
  <c r="Z91" i="26"/>
  <c r="AA91" i="26"/>
  <c r="AC91" i="26"/>
  <c r="AD91" i="26"/>
  <c r="AF91" i="26"/>
  <c r="AG91" i="26"/>
  <c r="AI91" i="26"/>
  <c r="AJ91" i="26"/>
  <c r="AL91" i="26"/>
  <c r="AM91" i="26"/>
  <c r="L91" i="26"/>
  <c r="F91" i="26"/>
  <c r="AP92" i="26"/>
  <c r="AT88" i="26"/>
  <c r="AV88" i="26" s="1"/>
  <c r="AP90" i="26"/>
  <c r="AR90" i="26" s="1"/>
  <c r="AP89" i="26"/>
  <c r="AR89" i="26" s="1"/>
  <c r="AO90" i="26"/>
  <c r="AO89" i="26"/>
  <c r="AD88" i="26"/>
  <c r="X88" i="26"/>
  <c r="U88" i="26"/>
  <c r="R88" i="26"/>
  <c r="O88" i="26"/>
  <c r="L88" i="26"/>
  <c r="I88" i="26"/>
  <c r="F88" i="26"/>
  <c r="AP87" i="26"/>
  <c r="AR87" i="26" s="1"/>
  <c r="AO87" i="26"/>
  <c r="AP86" i="26"/>
  <c r="Q85" i="26"/>
  <c r="R85" i="26"/>
  <c r="T85" i="26"/>
  <c r="U85" i="26"/>
  <c r="W85" i="26"/>
  <c r="X85" i="26"/>
  <c r="Z85" i="26"/>
  <c r="AA85" i="26"/>
  <c r="AD85" i="26"/>
  <c r="AF85" i="26"/>
  <c r="AG85" i="26"/>
  <c r="AI85" i="26"/>
  <c r="AJ85" i="26"/>
  <c r="AL85" i="26"/>
  <c r="AM85" i="26"/>
  <c r="O85" i="26"/>
  <c r="L85" i="26"/>
  <c r="I85" i="26"/>
  <c r="F85" i="26"/>
  <c r="AT82" i="26"/>
  <c r="AV82" i="26" s="1"/>
  <c r="AP83" i="26"/>
  <c r="AP84" i="26"/>
  <c r="AR84" i="26" s="1"/>
  <c r="AD82" i="26"/>
  <c r="X82" i="26"/>
  <c r="U82" i="26"/>
  <c r="R82" i="26"/>
  <c r="O82" i="26"/>
  <c r="L82" i="26"/>
  <c r="AO84" i="26"/>
  <c r="AO83" i="26"/>
  <c r="I82" i="26"/>
  <c r="F82" i="26"/>
  <c r="AK83" i="22"/>
  <c r="AM83" i="22" s="1"/>
  <c r="AK82" i="22"/>
  <c r="AJ83" i="22"/>
  <c r="AJ82" i="22"/>
  <c r="X81" i="22"/>
  <c r="U81" i="22"/>
  <c r="R81" i="22"/>
  <c r="L81" i="22"/>
  <c r="I81" i="22"/>
  <c r="F81" i="22"/>
  <c r="AG81" i="22"/>
  <c r="D35" i="4" l="1"/>
  <c r="D49" i="4" s="1"/>
  <c r="F49" i="4" s="1"/>
  <c r="E93" i="1"/>
  <c r="D22" i="2"/>
  <c r="D24" i="2" s="1"/>
  <c r="D76" i="4"/>
  <c r="F76" i="4" s="1"/>
  <c r="AM86" i="22"/>
  <c r="AK84" i="22"/>
  <c r="AJ81" i="22"/>
  <c r="D93" i="4"/>
  <c r="D21" i="7"/>
  <c r="F20" i="7"/>
  <c r="D50" i="6"/>
  <c r="F50" i="6" s="1"/>
  <c r="F36" i="6"/>
  <c r="D89" i="6"/>
  <c r="F89" i="6" s="1"/>
  <c r="F77" i="6"/>
  <c r="D93" i="6"/>
  <c r="D77" i="5"/>
  <c r="F55" i="5"/>
  <c r="D88" i="4"/>
  <c r="F88" i="4" s="1"/>
  <c r="E76" i="1"/>
  <c r="E92" i="1" s="1"/>
  <c r="G54" i="1"/>
  <c r="AM84" i="22"/>
  <c r="AK81" i="22"/>
  <c r="AM81" i="22" s="1"/>
  <c r="AM82" i="22"/>
  <c r="D50" i="5"/>
  <c r="F50" i="5" s="1"/>
  <c r="F36" i="5"/>
  <c r="AP85" i="26"/>
  <c r="AR85" i="26" s="1"/>
  <c r="AR86" i="26"/>
  <c r="AP91" i="26"/>
  <c r="AR91" i="26" s="1"/>
  <c r="AR92" i="26"/>
  <c r="AP97" i="26"/>
  <c r="AR97" i="26" s="1"/>
  <c r="AP82" i="26"/>
  <c r="AR82" i="26" s="1"/>
  <c r="AR83" i="26"/>
  <c r="AM99" i="26"/>
  <c r="G49" i="1"/>
  <c r="AT99" i="26"/>
  <c r="AV99" i="26" s="1"/>
  <c r="AP88" i="26"/>
  <c r="AR88" i="26" s="1"/>
  <c r="O99" i="26"/>
  <c r="AG99" i="26"/>
  <c r="L99" i="26"/>
  <c r="AI84" i="22"/>
  <c r="U99" i="26"/>
  <c r="X99" i="26"/>
  <c r="AA99" i="26"/>
  <c r="I91" i="26"/>
  <c r="AO82" i="26"/>
  <c r="AJ78" i="22"/>
  <c r="AK78" i="22"/>
  <c r="AM78" i="22" s="1"/>
  <c r="AG78" i="22"/>
  <c r="X78" i="22"/>
  <c r="U78" i="22"/>
  <c r="R78" i="22"/>
  <c r="L78" i="22"/>
  <c r="I78" i="22"/>
  <c r="AK75" i="22"/>
  <c r="AJ75" i="22"/>
  <c r="AJ74" i="22" s="1"/>
  <c r="F74" i="22"/>
  <c r="F78" i="22"/>
  <c r="AG74" i="22"/>
  <c r="AF19" i="28"/>
  <c r="AG19" i="28"/>
  <c r="AF18" i="28"/>
  <c r="AG18" i="28"/>
  <c r="AF17" i="28"/>
  <c r="AG17" i="28"/>
  <c r="AH6" i="28"/>
  <c r="AJ6" i="28" s="1"/>
  <c r="AH7" i="28"/>
  <c r="AJ7" i="28" s="1"/>
  <c r="AH8" i="28"/>
  <c r="AJ8" i="28" s="1"/>
  <c r="AH9" i="28"/>
  <c r="AJ9" i="28" s="1"/>
  <c r="AH10" i="28"/>
  <c r="AJ10" i="28" s="1"/>
  <c r="AH11" i="28"/>
  <c r="AJ11" i="28" s="1"/>
  <c r="AH12" i="28"/>
  <c r="AJ12" i="28" s="1"/>
  <c r="AH13" i="28"/>
  <c r="AJ13" i="28" s="1"/>
  <c r="AH14" i="28"/>
  <c r="AJ14" i="28" s="1"/>
  <c r="AH15" i="28"/>
  <c r="AJ15" i="28" s="1"/>
  <c r="AH16" i="28"/>
  <c r="AJ16" i="28" s="1"/>
  <c r="AH5" i="28"/>
  <c r="AJ5" i="28" s="1"/>
  <c r="H17" i="28"/>
  <c r="AC17" i="28"/>
  <c r="AC18" i="28"/>
  <c r="AC19" i="28"/>
  <c r="Z17" i="28"/>
  <c r="Z18" i="28"/>
  <c r="Z19" i="28"/>
  <c r="W17" i="28"/>
  <c r="W18" i="28"/>
  <c r="W19" i="28"/>
  <c r="T17" i="28"/>
  <c r="T18" i="28"/>
  <c r="T19" i="28"/>
  <c r="Q17" i="28"/>
  <c r="Q18" i="28"/>
  <c r="Q19" i="28"/>
  <c r="N17" i="28"/>
  <c r="N18" i="28"/>
  <c r="N19" i="28"/>
  <c r="K17" i="28"/>
  <c r="K18" i="28"/>
  <c r="K19" i="28"/>
  <c r="H18" i="28"/>
  <c r="H19" i="28"/>
  <c r="E18" i="28"/>
  <c r="E19" i="28"/>
  <c r="AD6" i="24"/>
  <c r="AF6" i="24" s="1"/>
  <c r="AD7" i="24"/>
  <c r="AF7" i="24" s="1"/>
  <c r="AD8" i="24"/>
  <c r="AF8" i="24" s="1"/>
  <c r="AD9" i="24"/>
  <c r="AF9" i="24" s="1"/>
  <c r="AD10" i="24"/>
  <c r="AD11" i="24"/>
  <c r="AF11" i="24" s="1"/>
  <c r="AD12" i="24"/>
  <c r="AF12" i="24" s="1"/>
  <c r="AD13" i="24"/>
  <c r="AF13" i="24" s="1"/>
  <c r="AD14" i="24"/>
  <c r="AF14" i="24" s="1"/>
  <c r="AD15" i="24"/>
  <c r="AF15" i="24" s="1"/>
  <c r="AD16" i="24"/>
  <c r="AF16" i="24" s="1"/>
  <c r="AD5" i="24"/>
  <c r="AF5" i="24" s="1"/>
  <c r="AC10" i="24"/>
  <c r="AC19" i="24" s="1"/>
  <c r="AB10" i="24"/>
  <c r="AC5" i="24"/>
  <c r="AC18" i="24" s="1"/>
  <c r="Y19" i="24"/>
  <c r="Z19" i="24"/>
  <c r="Y18" i="24"/>
  <c r="Z18" i="24"/>
  <c r="Y17" i="24"/>
  <c r="Z17" i="24"/>
  <c r="F22" i="2" l="1"/>
  <c r="F35" i="4"/>
  <c r="D92" i="4"/>
  <c r="AH19" i="28"/>
  <c r="AJ19" i="28" s="1"/>
  <c r="F21" i="7"/>
  <c r="D23" i="7"/>
  <c r="I23" i="7"/>
  <c r="D89" i="5"/>
  <c r="F89" i="5" s="1"/>
  <c r="F77" i="5"/>
  <c r="D93" i="5"/>
  <c r="E88" i="1"/>
  <c r="G88" i="1" s="1"/>
  <c r="G76" i="1"/>
  <c r="AK74" i="22"/>
  <c r="AM74" i="22" s="1"/>
  <c r="AM75" i="22"/>
  <c r="AD19" i="24"/>
  <c r="AF19" i="24" s="1"/>
  <c r="AF10" i="24"/>
  <c r="AD18" i="24"/>
  <c r="AF18" i="24" s="1"/>
  <c r="AD17" i="24"/>
  <c r="AF17" i="24" s="1"/>
  <c r="AC17" i="24"/>
  <c r="AH17" i="28"/>
  <c r="AJ17" i="28" s="1"/>
  <c r="AH18" i="28"/>
  <c r="AJ18" i="28" s="1"/>
  <c r="E17" i="28"/>
  <c r="W18" i="24"/>
  <c r="W19" i="24"/>
  <c r="T17" i="24"/>
  <c r="T18" i="24"/>
  <c r="T19" i="24"/>
  <c r="Q17" i="24"/>
  <c r="Q18" i="24"/>
  <c r="Q19" i="24"/>
  <c r="N17" i="24"/>
  <c r="N18" i="24"/>
  <c r="N19" i="24"/>
  <c r="K17" i="24"/>
  <c r="K18" i="24"/>
  <c r="K19" i="24"/>
  <c r="H17" i="24"/>
  <c r="H18" i="24"/>
  <c r="H19" i="24"/>
  <c r="E17" i="24"/>
  <c r="E18" i="24"/>
  <c r="E19" i="24"/>
  <c r="AH7" i="27" l="1"/>
  <c r="AH9" i="27" s="1"/>
  <c r="AJ9" i="27" s="1"/>
  <c r="AH5" i="27"/>
  <c r="AJ5" i="27" s="1"/>
  <c r="AF5" i="27"/>
  <c r="AF10" i="27" s="1"/>
  <c r="AF7" i="27"/>
  <c r="AF9" i="27"/>
  <c r="AH10" i="27"/>
  <c r="AJ10" i="27" s="1"/>
  <c r="AC8" i="27"/>
  <c r="AC9" i="27"/>
  <c r="AC10" i="27"/>
  <c r="Z8" i="27"/>
  <c r="Z9" i="27"/>
  <c r="Z10" i="27"/>
  <c r="W8" i="27"/>
  <c r="W9" i="27"/>
  <c r="W10" i="27"/>
  <c r="T8" i="27"/>
  <c r="T9" i="27"/>
  <c r="T10" i="27"/>
  <c r="Q8" i="27"/>
  <c r="Q9" i="27"/>
  <c r="Q10" i="27"/>
  <c r="N8" i="27"/>
  <c r="N9" i="27"/>
  <c r="N10" i="27"/>
  <c r="K8" i="27"/>
  <c r="K9" i="27"/>
  <c r="K10" i="27"/>
  <c r="H8" i="27"/>
  <c r="H9" i="27"/>
  <c r="H10" i="27"/>
  <c r="E10" i="27"/>
  <c r="E9" i="27"/>
  <c r="E8" i="27"/>
  <c r="AF8" i="27" l="1"/>
  <c r="AH8" i="27"/>
  <c r="AJ8" i="27" s="1"/>
  <c r="AJ7" i="27"/>
  <c r="AC10" i="23"/>
  <c r="AE10" i="23" s="1"/>
  <c r="AB5" i="23"/>
  <c r="Y10" i="23"/>
  <c r="Z10" i="23"/>
  <c r="Y9" i="23"/>
  <c r="Z9" i="23"/>
  <c r="Y8" i="23"/>
  <c r="Z8" i="23"/>
  <c r="W8" i="23"/>
  <c r="W9" i="23"/>
  <c r="W10" i="23"/>
  <c r="T8" i="23"/>
  <c r="T9" i="23"/>
  <c r="T10" i="23"/>
  <c r="Q8" i="23"/>
  <c r="Q9" i="23"/>
  <c r="Q10" i="23"/>
  <c r="N8" i="23"/>
  <c r="N9" i="23"/>
  <c r="N10" i="23"/>
  <c r="K8" i="23"/>
  <c r="K9" i="23"/>
  <c r="K10" i="23"/>
  <c r="H8" i="23"/>
  <c r="H9" i="23"/>
  <c r="H10" i="23"/>
  <c r="E8" i="23"/>
  <c r="E9" i="23"/>
  <c r="E10" i="23"/>
  <c r="AH6" i="29"/>
  <c r="AJ6" i="29" s="1"/>
  <c r="AH5" i="29"/>
  <c r="AJ5" i="29" s="1"/>
  <c r="AF6" i="29"/>
  <c r="AF9" i="29" s="1"/>
  <c r="AG6" i="29"/>
  <c r="AE6" i="29"/>
  <c r="AF5" i="29"/>
  <c r="AG5" i="29"/>
  <c r="AG7" i="29" s="1"/>
  <c r="AF8" i="29"/>
  <c r="AH8" i="29"/>
  <c r="AJ8" i="29" s="1"/>
  <c r="AG9" i="29"/>
  <c r="AH9" i="29"/>
  <c r="AJ9" i="29" s="1"/>
  <c r="AC7" i="29"/>
  <c r="AC8" i="29"/>
  <c r="AC9" i="29"/>
  <c r="Z7" i="29"/>
  <c r="Z8" i="29"/>
  <c r="Z9" i="29"/>
  <c r="W7" i="29"/>
  <c r="W8" i="29"/>
  <c r="W9" i="29"/>
  <c r="T7" i="29"/>
  <c r="T8" i="29"/>
  <c r="T9" i="29"/>
  <c r="Q7" i="29"/>
  <c r="Q8" i="29"/>
  <c r="Q9" i="29"/>
  <c r="N7" i="29"/>
  <c r="N8" i="29"/>
  <c r="N9" i="29"/>
  <c r="K7" i="29"/>
  <c r="K8" i="29"/>
  <c r="K9" i="29"/>
  <c r="H9" i="29"/>
  <c r="H8" i="29"/>
  <c r="E9" i="29"/>
  <c r="E8" i="29"/>
  <c r="H7" i="29"/>
  <c r="E7" i="29"/>
  <c r="Z9" i="25"/>
  <c r="AB9" i="25" s="1"/>
  <c r="Z6" i="25"/>
  <c r="AB6" i="25" s="1"/>
  <c r="Z5" i="25"/>
  <c r="W9" i="25"/>
  <c r="W8" i="25"/>
  <c r="W7" i="25"/>
  <c r="Z7" i="25" s="1"/>
  <c r="AB7" i="25" s="1"/>
  <c r="AK6" i="22"/>
  <c r="AK7" i="22"/>
  <c r="AM7" i="22" s="1"/>
  <c r="AK8" i="22"/>
  <c r="AM8" i="22" s="1"/>
  <c r="AK9" i="22"/>
  <c r="AM9" i="22" s="1"/>
  <c r="AK10" i="22"/>
  <c r="AM10" i="22" s="1"/>
  <c r="AK5" i="22"/>
  <c r="AK13" i="22"/>
  <c r="AM13" i="22" s="1"/>
  <c r="AK15" i="22"/>
  <c r="AM15" i="22" s="1"/>
  <c r="AK16" i="22"/>
  <c r="AM16" i="22" s="1"/>
  <c r="AK17" i="22"/>
  <c r="AM17" i="22" s="1"/>
  <c r="AK18" i="22"/>
  <c r="AM18" i="22" s="1"/>
  <c r="AK22" i="22"/>
  <c r="AM22" i="22" s="1"/>
  <c r="AK23" i="22"/>
  <c r="AM23" i="22" s="1"/>
  <c r="AK24" i="22"/>
  <c r="AM24" i="22" s="1"/>
  <c r="AK25" i="22"/>
  <c r="AM25" i="22" s="1"/>
  <c r="AK26" i="22"/>
  <c r="AM26" i="22" s="1"/>
  <c r="AK27" i="22"/>
  <c r="AM27" i="22" s="1"/>
  <c r="AK30" i="22"/>
  <c r="AM30" i="22" s="1"/>
  <c r="AK31" i="22"/>
  <c r="AM31" i="22" s="1"/>
  <c r="AK32" i="22"/>
  <c r="AM32" i="22" s="1"/>
  <c r="AK35" i="22"/>
  <c r="AM35" i="22" s="1"/>
  <c r="AK36" i="22"/>
  <c r="AM36" i="22" s="1"/>
  <c r="AK37" i="22"/>
  <c r="AM37" i="22" s="1"/>
  <c r="AK42" i="22"/>
  <c r="AM42" i="22" s="1"/>
  <c r="AK43" i="22"/>
  <c r="AM43" i="22" s="1"/>
  <c r="AK45" i="22"/>
  <c r="AM45" i="22" s="1"/>
  <c r="AK46" i="22"/>
  <c r="AM46" i="22" s="1"/>
  <c r="AK47" i="22"/>
  <c r="AM47" i="22" s="1"/>
  <c r="AK48" i="22"/>
  <c r="AM48" i="22" s="1"/>
  <c r="AK49" i="22"/>
  <c r="AM49" i="22" s="1"/>
  <c r="AM68" i="22"/>
  <c r="AM69" i="22"/>
  <c r="AK12" i="22"/>
  <c r="AM12" i="22" s="1"/>
  <c r="AJ5" i="22"/>
  <c r="AI5" i="22"/>
  <c r="AJ6" i="22"/>
  <c r="AJ7" i="22"/>
  <c r="AJ8" i="22"/>
  <c r="AJ9" i="22"/>
  <c r="AJ10" i="22"/>
  <c r="AJ12" i="22"/>
  <c r="AJ13" i="22"/>
  <c r="AJ15" i="22"/>
  <c r="AJ16" i="22"/>
  <c r="AJ17" i="22"/>
  <c r="AJ18" i="22"/>
  <c r="AJ22" i="22"/>
  <c r="AJ23" i="22"/>
  <c r="AJ24" i="22"/>
  <c r="AJ25" i="22"/>
  <c r="AJ26" i="22"/>
  <c r="AJ27" i="22"/>
  <c r="AJ30" i="22"/>
  <c r="AJ31" i="22"/>
  <c r="AJ32" i="22"/>
  <c r="AJ35" i="22"/>
  <c r="AJ36" i="22"/>
  <c r="AJ37" i="22"/>
  <c r="AJ38" i="22"/>
  <c r="AJ39" i="22"/>
  <c r="AJ42" i="22"/>
  <c r="AJ43" i="22"/>
  <c r="AJ45" i="22"/>
  <c r="AJ46" i="22"/>
  <c r="AJ47" i="22"/>
  <c r="AJ48" i="22"/>
  <c r="AJ49" i="22"/>
  <c r="AJ68" i="22"/>
  <c r="AJ69" i="22"/>
  <c r="AF71" i="22"/>
  <c r="X71" i="22"/>
  <c r="X73" i="22"/>
  <c r="X70" i="22"/>
  <c r="X88" i="22" s="1"/>
  <c r="U70" i="22"/>
  <c r="U88" i="22" s="1"/>
  <c r="U71" i="22"/>
  <c r="U90" i="22" s="1"/>
  <c r="U73" i="22"/>
  <c r="U91" i="22" s="1"/>
  <c r="R73" i="22"/>
  <c r="R91" i="22" s="1"/>
  <c r="AK33" i="22"/>
  <c r="AM33" i="22" s="1"/>
  <c r="AK34" i="22"/>
  <c r="AM34" i="22" s="1"/>
  <c r="L90" i="22"/>
  <c r="L73" i="22"/>
  <c r="L91" i="22" s="1"/>
  <c r="I73" i="22"/>
  <c r="I91" i="22" s="1"/>
  <c r="I71" i="22"/>
  <c r="F73" i="22"/>
  <c r="F71" i="22"/>
  <c r="L70" i="22"/>
  <c r="L88" i="22" s="1"/>
  <c r="I70" i="22"/>
  <c r="I88" i="22" s="1"/>
  <c r="F70" i="22"/>
  <c r="F88" i="22" s="1"/>
  <c r="AA94" i="26"/>
  <c r="X94" i="26"/>
  <c r="U94" i="26"/>
  <c r="O94" i="26"/>
  <c r="L94" i="26"/>
  <c r="AM94" i="26"/>
  <c r="AG94" i="26"/>
  <c r="AD96" i="26"/>
  <c r="AD99" i="26" s="1"/>
  <c r="R96" i="26"/>
  <c r="R99" i="26" s="1"/>
  <c r="AM6" i="22" l="1"/>
  <c r="AK73" i="22"/>
  <c r="Z8" i="25"/>
  <c r="AB8" i="25" s="1"/>
  <c r="AB5" i="25"/>
  <c r="AM5" i="22"/>
  <c r="F90" i="22"/>
  <c r="AC9" i="23"/>
  <c r="AE9" i="23" s="1"/>
  <c r="AE7" i="23"/>
  <c r="AG8" i="29"/>
  <c r="AF7" i="29"/>
  <c r="U93" i="22"/>
  <c r="R70" i="22"/>
  <c r="R88" i="22" s="1"/>
  <c r="R71" i="22"/>
  <c r="R90" i="22" s="1"/>
  <c r="R93" i="22" s="1"/>
  <c r="AJ33" i="22"/>
  <c r="AJ34" i="22"/>
  <c r="AJ73" i="22"/>
  <c r="AJ91" i="22" s="1"/>
  <c r="AC8" i="23"/>
  <c r="AE8" i="23" s="1"/>
  <c r="L93" i="22"/>
  <c r="X91" i="22"/>
  <c r="X90" i="22"/>
  <c r="F91" i="22"/>
  <c r="I90" i="22"/>
  <c r="I93" i="22" s="1"/>
  <c r="AD94" i="26"/>
  <c r="R94" i="26"/>
  <c r="AH7" i="29"/>
  <c r="AJ7" i="29" s="1"/>
  <c r="AR30" i="26"/>
  <c r="AP28" i="26"/>
  <c r="AR28" i="26" s="1"/>
  <c r="AP27" i="26"/>
  <c r="AR27" i="26" s="1"/>
  <c r="F93" i="22" l="1"/>
  <c r="AM91" i="22"/>
  <c r="AM73" i="22"/>
  <c r="AK71" i="22"/>
  <c r="F94" i="26"/>
  <c r="AP6" i="26"/>
  <c r="AK41" i="22"/>
  <c r="AK70" i="22" s="1"/>
  <c r="AJ41" i="22"/>
  <c r="AJ70" i="22" s="1"/>
  <c r="AJ88" i="22" s="1"/>
  <c r="AG93" i="22"/>
  <c r="X93" i="22"/>
  <c r="F96" i="26"/>
  <c r="F99" i="26" s="1"/>
  <c r="I96" i="26"/>
  <c r="I99" i="26" s="1"/>
  <c r="I94" i="26"/>
  <c r="AG70" i="22"/>
  <c r="AG88" i="22" s="1"/>
  <c r="AP80" i="26" l="1"/>
  <c r="AM71" i="22"/>
  <c r="AM41" i="22"/>
  <c r="AK88" i="22"/>
  <c r="AM88" i="22" s="1"/>
  <c r="AR6" i="26"/>
  <c r="AJ71" i="22"/>
  <c r="AJ90" i="22" s="1"/>
  <c r="AJ93" i="22" s="1"/>
  <c r="AM70" i="22" l="1"/>
  <c r="AK93" i="22"/>
  <c r="AM93" i="22" s="1"/>
  <c r="AM90" i="22"/>
  <c r="AP96" i="26"/>
  <c r="AR96" i="26" s="1"/>
  <c r="AR80" i="26"/>
  <c r="AT100" i="26"/>
  <c r="AR71" i="26"/>
  <c r="C15" i="2" l="1"/>
  <c r="C16" i="7"/>
  <c r="C16" i="2"/>
  <c r="C21" i="2" s="1"/>
  <c r="AJ94" i="26" l="1"/>
  <c r="AJ98" i="26"/>
  <c r="AJ99" i="26" s="1"/>
  <c r="C60" i="5"/>
  <c r="C66" i="5"/>
  <c r="AF90" i="22"/>
  <c r="AF91" i="22"/>
  <c r="C9" i="4"/>
  <c r="C82" i="4"/>
  <c r="C77" i="4"/>
  <c r="C73" i="4"/>
  <c r="C68" i="4" s="1"/>
  <c r="C65" i="4"/>
  <c r="C36" i="4"/>
  <c r="C24" i="4"/>
  <c r="C20" i="4"/>
  <c r="C16" i="4"/>
  <c r="D65" i="1"/>
  <c r="D16" i="1"/>
  <c r="C54" i="4" l="1"/>
  <c r="C76" i="4" s="1"/>
  <c r="C88" i="4" s="1"/>
  <c r="C87" i="4"/>
  <c r="C55" i="5"/>
  <c r="AI92" i="22"/>
  <c r="K92" i="22"/>
  <c r="K90" i="22"/>
  <c r="H71" i="22"/>
  <c r="E78" i="26"/>
  <c r="AE5" i="30"/>
  <c r="AT94" i="26" l="1"/>
  <c r="AV94" i="26" s="1"/>
  <c r="AV85" i="26"/>
  <c r="AP98" i="26"/>
  <c r="AR81" i="26"/>
  <c r="AG5" i="30"/>
  <c r="AG13" i="30" s="1"/>
  <c r="AP94" i="26"/>
  <c r="AR94" i="26" s="1"/>
  <c r="AO86" i="26"/>
  <c r="AC85" i="26"/>
  <c r="H8" i="18"/>
  <c r="AP99" i="26" l="1"/>
  <c r="AR99" i="26" s="1"/>
  <c r="AR98" i="26"/>
  <c r="G10" i="23" l="1"/>
  <c r="J10" i="23"/>
  <c r="M10" i="23"/>
  <c r="P10" i="23"/>
  <c r="S10" i="23"/>
  <c r="V10" i="23"/>
  <c r="D10" i="23"/>
  <c r="AS96" i="26"/>
  <c r="H91" i="26"/>
  <c r="K91" i="26"/>
  <c r="N91" i="26"/>
  <c r="AS91" i="26"/>
  <c r="E91" i="26"/>
  <c r="H92" i="22"/>
  <c r="Q92" i="22"/>
  <c r="T92" i="22"/>
  <c r="W92" i="22"/>
  <c r="AF92" i="22"/>
  <c r="E92" i="22"/>
  <c r="W84" i="22"/>
  <c r="AF84" i="22"/>
  <c r="E84" i="22"/>
  <c r="H74" i="22"/>
  <c r="K74" i="22"/>
  <c r="AF74" i="22"/>
  <c r="E74" i="22"/>
  <c r="D13" i="30"/>
  <c r="AB9" i="31"/>
  <c r="AB8" i="31"/>
  <c r="AB7" i="31"/>
  <c r="AB6" i="31"/>
  <c r="AB15" i="31" s="1"/>
  <c r="AB5" i="31"/>
  <c r="G13" i="30"/>
  <c r="AE9" i="30"/>
  <c r="AE8" i="30"/>
  <c r="AE7" i="30"/>
  <c r="AE6" i="30"/>
  <c r="H47" i="18"/>
  <c r="AE15" i="30" l="1"/>
  <c r="AE13" i="30"/>
  <c r="AB13" i="31"/>
  <c r="AB14" i="31"/>
  <c r="AO91" i="26"/>
  <c r="AI48" i="22"/>
  <c r="AI49" i="22"/>
  <c r="AI45" i="22"/>
  <c r="AI46" i="22"/>
  <c r="AI47" i="22"/>
  <c r="AI43" i="22" l="1"/>
  <c r="AI42" i="22" l="1"/>
  <c r="AI41" i="22"/>
  <c r="W99" i="22"/>
  <c r="Z98" i="26" l="1"/>
  <c r="Z96" i="26"/>
  <c r="Z94" i="26"/>
  <c r="H35" i="18"/>
  <c r="AO22" i="26" l="1"/>
  <c r="AO5" i="26" l="1"/>
  <c r="AO6" i="26"/>
  <c r="AI23" i="22" l="1"/>
  <c r="AI17" i="22"/>
  <c r="H21" i="2" l="1"/>
  <c r="C20" i="7"/>
  <c r="H15" i="7"/>
  <c r="H21" i="7" s="1"/>
  <c r="C22" i="7" l="1"/>
  <c r="C21" i="7"/>
  <c r="H15" i="2"/>
  <c r="H22" i="2" s="1"/>
  <c r="C32" i="4"/>
  <c r="C34" i="4"/>
  <c r="C45" i="4"/>
  <c r="C46" i="4"/>
  <c r="C47" i="4"/>
  <c r="C25" i="5"/>
  <c r="C94" i="6"/>
  <c r="C35" i="4" l="1"/>
  <c r="C23" i="2"/>
  <c r="C22" i="2"/>
  <c r="C24" i="2" s="1"/>
  <c r="C48" i="4"/>
  <c r="H23" i="7"/>
  <c r="C23" i="7"/>
  <c r="H97" i="26"/>
  <c r="K97" i="26"/>
  <c r="N97" i="26"/>
  <c r="Q97" i="26"/>
  <c r="T97" i="26"/>
  <c r="W97" i="26"/>
  <c r="Z97" i="26"/>
  <c r="Z99" i="26" s="1"/>
  <c r="AC97" i="26"/>
  <c r="AF97" i="26"/>
  <c r="AI97" i="26"/>
  <c r="AL97" i="26"/>
  <c r="C49" i="4" l="1"/>
  <c r="D24" i="1"/>
  <c r="H32" i="18" l="1"/>
  <c r="H34" i="18"/>
  <c r="AO31" i="26" l="1"/>
  <c r="AO8" i="26"/>
  <c r="AO7" i="26"/>
  <c r="AS97" i="26" l="1"/>
  <c r="J10" i="27"/>
  <c r="M10" i="27"/>
  <c r="P10" i="27"/>
  <c r="S10" i="27"/>
  <c r="V10" i="27"/>
  <c r="Y10" i="27"/>
  <c r="AB10" i="27"/>
  <c r="G10" i="27"/>
  <c r="D10" i="27"/>
  <c r="AO15" i="26"/>
  <c r="E97" i="26"/>
  <c r="H62" i="18"/>
  <c r="H54" i="18"/>
  <c r="H45" i="18"/>
  <c r="H44" i="18"/>
  <c r="H41" i="18"/>
  <c r="H40" i="18"/>
  <c r="H39" i="18"/>
  <c r="H38" i="18"/>
  <c r="H37" i="18"/>
  <c r="H36" i="18"/>
  <c r="AI26" i="22" l="1"/>
  <c r="AB9" i="29" l="1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7" i="29"/>
  <c r="Y7" i="29"/>
  <c r="V7" i="29"/>
  <c r="S7" i="29"/>
  <c r="P7" i="29"/>
  <c r="M7" i="29"/>
  <c r="J7" i="29"/>
  <c r="G7" i="29"/>
  <c r="D7" i="29"/>
  <c r="AE9" i="29"/>
  <c r="AE5" i="29"/>
  <c r="AE8" i="29" s="1"/>
  <c r="AB19" i="28"/>
  <c r="Y19" i="28"/>
  <c r="V19" i="28"/>
  <c r="S19" i="28"/>
  <c r="P19" i="28"/>
  <c r="M19" i="28"/>
  <c r="G19" i="28"/>
  <c r="D19" i="28"/>
  <c r="AB18" i="28"/>
  <c r="Y18" i="28"/>
  <c r="V18" i="28"/>
  <c r="S18" i="28"/>
  <c r="P18" i="28"/>
  <c r="M18" i="28"/>
  <c r="J18" i="28"/>
  <c r="G18" i="28"/>
  <c r="D18" i="28"/>
  <c r="AB17" i="28"/>
  <c r="Y17" i="28"/>
  <c r="V17" i="28"/>
  <c r="S17" i="28"/>
  <c r="P17" i="28"/>
  <c r="M17" i="28"/>
  <c r="G17" i="28"/>
  <c r="D17" i="28"/>
  <c r="AE16" i="28"/>
  <c r="AE15" i="28"/>
  <c r="AE14" i="28"/>
  <c r="AE13" i="28"/>
  <c r="AE12" i="28"/>
  <c r="AE11" i="28"/>
  <c r="AG10" i="28"/>
  <c r="AE10" i="28"/>
  <c r="AE9" i="28"/>
  <c r="AE8" i="28"/>
  <c r="AE7" i="28"/>
  <c r="AE6" i="28"/>
  <c r="AE5" i="28"/>
  <c r="AB9" i="27"/>
  <c r="Y9" i="27"/>
  <c r="V9" i="27"/>
  <c r="S9" i="27"/>
  <c r="P9" i="27"/>
  <c r="M9" i="27"/>
  <c r="J9" i="27"/>
  <c r="G9" i="27"/>
  <c r="AB8" i="27"/>
  <c r="Y8" i="27"/>
  <c r="V8" i="27"/>
  <c r="S8" i="27"/>
  <c r="P8" i="27"/>
  <c r="M8" i="27"/>
  <c r="J8" i="27"/>
  <c r="G8" i="27"/>
  <c r="AE7" i="27"/>
  <c r="AG7" i="27" s="1"/>
  <c r="D9" i="27"/>
  <c r="AS88" i="26"/>
  <c r="AL88" i="26"/>
  <c r="AI88" i="26"/>
  <c r="AF88" i="26"/>
  <c r="AC88" i="26"/>
  <c r="W88" i="26"/>
  <c r="T88" i="26"/>
  <c r="Q88" i="26"/>
  <c r="N88" i="26"/>
  <c r="K88" i="26"/>
  <c r="H88" i="26"/>
  <c r="E88" i="26"/>
  <c r="AS85" i="26"/>
  <c r="N85" i="26"/>
  <c r="K85" i="26"/>
  <c r="H85" i="26"/>
  <c r="E85" i="26"/>
  <c r="AO97" i="26"/>
  <c r="AS82" i="26"/>
  <c r="AL82" i="26"/>
  <c r="AI82" i="26"/>
  <c r="AF82" i="26"/>
  <c r="AC82" i="26"/>
  <c r="W82" i="26"/>
  <c r="T82" i="26"/>
  <c r="Q82" i="26"/>
  <c r="N82" i="26"/>
  <c r="K82" i="26"/>
  <c r="H82" i="26"/>
  <c r="AS81" i="26"/>
  <c r="AS98" i="26" s="1"/>
  <c r="AL98" i="26"/>
  <c r="AF98" i="26"/>
  <c r="W98" i="26"/>
  <c r="T98" i="26"/>
  <c r="N98" i="26"/>
  <c r="K98" i="26"/>
  <c r="H98" i="26"/>
  <c r="E98" i="26"/>
  <c r="AL96" i="26"/>
  <c r="AI96" i="26"/>
  <c r="AF96" i="26"/>
  <c r="W96" i="26"/>
  <c r="T96" i="26"/>
  <c r="K96" i="26"/>
  <c r="H96" i="26"/>
  <c r="E96" i="26"/>
  <c r="AS71" i="26"/>
  <c r="AI94" i="26"/>
  <c r="AC94" i="26"/>
  <c r="T94" i="26"/>
  <c r="N96" i="26"/>
  <c r="AO38" i="26"/>
  <c r="AO37" i="26"/>
  <c r="AO36" i="26"/>
  <c r="AZ35" i="26"/>
  <c r="Q96" i="26"/>
  <c r="AO34" i="26"/>
  <c r="AO33" i="26"/>
  <c r="AO32" i="26"/>
  <c r="AO30" i="26"/>
  <c r="Q98" i="26"/>
  <c r="AO29" i="26"/>
  <c r="AO28" i="26"/>
  <c r="AO27" i="26"/>
  <c r="AO26" i="26"/>
  <c r="AO21" i="26"/>
  <c r="AO20" i="26"/>
  <c r="AO19" i="26"/>
  <c r="AO18" i="26"/>
  <c r="AO17" i="26"/>
  <c r="AO16" i="26"/>
  <c r="AO14" i="26"/>
  <c r="AO81" i="26" s="1"/>
  <c r="AI98" i="26"/>
  <c r="AO13" i="26"/>
  <c r="AO12" i="26"/>
  <c r="AO11" i="26"/>
  <c r="AC98" i="26"/>
  <c r="AO10" i="26"/>
  <c r="AO9" i="26"/>
  <c r="AC96" i="26"/>
  <c r="V9" i="25"/>
  <c r="S9" i="25"/>
  <c r="P9" i="25"/>
  <c r="M9" i="25"/>
  <c r="J9" i="25"/>
  <c r="G9" i="25"/>
  <c r="D9" i="25"/>
  <c r="V8" i="25"/>
  <c r="S8" i="25"/>
  <c r="P8" i="25"/>
  <c r="M8" i="25"/>
  <c r="J8" i="25"/>
  <c r="G8" i="25"/>
  <c r="D8" i="25"/>
  <c r="V7" i="25"/>
  <c r="S7" i="25"/>
  <c r="P7" i="25"/>
  <c r="M7" i="25"/>
  <c r="J7" i="25"/>
  <c r="G7" i="25"/>
  <c r="D7" i="25"/>
  <c r="Y6" i="25"/>
  <c r="Y9" i="25" s="1"/>
  <c r="Y5" i="25"/>
  <c r="Y8" i="25" s="1"/>
  <c r="S19" i="24"/>
  <c r="P19" i="24"/>
  <c r="M19" i="24"/>
  <c r="J19" i="24"/>
  <c r="G19" i="24"/>
  <c r="D19" i="24"/>
  <c r="S18" i="24"/>
  <c r="P18" i="24"/>
  <c r="M18" i="24"/>
  <c r="J18" i="24"/>
  <c r="G18" i="24"/>
  <c r="D18" i="24"/>
  <c r="S17" i="24"/>
  <c r="P17" i="24"/>
  <c r="M17" i="24"/>
  <c r="J17" i="24"/>
  <c r="G17" i="24"/>
  <c r="D17" i="24"/>
  <c r="AB16" i="24"/>
  <c r="AB15" i="24"/>
  <c r="AB14" i="24"/>
  <c r="AB13" i="24"/>
  <c r="AB12" i="24"/>
  <c r="AB11" i="24"/>
  <c r="V18" i="24"/>
  <c r="AB9" i="24"/>
  <c r="AB8" i="24"/>
  <c r="AB7" i="24"/>
  <c r="AB19" i="24" s="1"/>
  <c r="V19" i="24"/>
  <c r="AB6" i="24"/>
  <c r="AB5" i="24"/>
  <c r="S9" i="23"/>
  <c r="P9" i="23"/>
  <c r="M9" i="23"/>
  <c r="J9" i="23"/>
  <c r="G9" i="23"/>
  <c r="D9" i="23"/>
  <c r="S8" i="23"/>
  <c r="P8" i="23"/>
  <c r="M8" i="23"/>
  <c r="J8" i="23"/>
  <c r="G8" i="23"/>
  <c r="D8" i="23"/>
  <c r="V9" i="23"/>
  <c r="AB10" i="23"/>
  <c r="AO80" i="26" l="1"/>
  <c r="K94" i="26"/>
  <c r="AG9" i="27"/>
  <c r="N94" i="26"/>
  <c r="W94" i="26"/>
  <c r="AF94" i="26"/>
  <c r="AL94" i="26"/>
  <c r="Y7" i="25"/>
  <c r="AS94" i="26"/>
  <c r="H94" i="26"/>
  <c r="E94" i="26"/>
  <c r="H99" i="26"/>
  <c r="AS99" i="26"/>
  <c r="AE18" i="28"/>
  <c r="AO85" i="26"/>
  <c r="K99" i="26"/>
  <c r="AO88" i="26"/>
  <c r="N99" i="26"/>
  <c r="AL99" i="26"/>
  <c r="AC99" i="26"/>
  <c r="E99" i="26"/>
  <c r="Q99" i="26"/>
  <c r="W99" i="26"/>
  <c r="AB18" i="24"/>
  <c r="AE7" i="29"/>
  <c r="AE19" i="28"/>
  <c r="J17" i="28"/>
  <c r="J19" i="28"/>
  <c r="AE17" i="28"/>
  <c r="AE5" i="27"/>
  <c r="D8" i="27"/>
  <c r="T99" i="26"/>
  <c r="AF99" i="26"/>
  <c r="AI99" i="26"/>
  <c r="AO35" i="26"/>
  <c r="AO71" i="26" s="1"/>
  <c r="Q94" i="26"/>
  <c r="V17" i="24"/>
  <c r="AB17" i="24"/>
  <c r="AB7" i="23"/>
  <c r="AB9" i="23" s="1"/>
  <c r="V8" i="23"/>
  <c r="AE10" i="27" l="1"/>
  <c r="AG5" i="27"/>
  <c r="AS100" i="26"/>
  <c r="AO94" i="26"/>
  <c r="AB8" i="23"/>
  <c r="AO96" i="26"/>
  <c r="AO98" i="26"/>
  <c r="AE9" i="27"/>
  <c r="AE8" i="27"/>
  <c r="AG10" i="27" l="1"/>
  <c r="AG8" i="27"/>
  <c r="AO99" i="26"/>
  <c r="AI81" i="22"/>
  <c r="AF81" i="22"/>
  <c r="W81" i="22"/>
  <c r="T81" i="22"/>
  <c r="Q81" i="22"/>
  <c r="K81" i="22"/>
  <c r="H81" i="22"/>
  <c r="E81" i="22"/>
  <c r="AI78" i="22"/>
  <c r="AF78" i="22"/>
  <c r="W78" i="22"/>
  <c r="T78" i="22"/>
  <c r="Q78" i="22"/>
  <c r="K78" i="22"/>
  <c r="H78" i="22"/>
  <c r="E78" i="22"/>
  <c r="AI75" i="22"/>
  <c r="AI74" i="22" s="1"/>
  <c r="W73" i="22"/>
  <c r="W91" i="22" s="1"/>
  <c r="T73" i="22"/>
  <c r="T91" i="22" s="1"/>
  <c r="Q73" i="22"/>
  <c r="Q91" i="22" s="1"/>
  <c r="K73" i="22"/>
  <c r="K91" i="22" s="1"/>
  <c r="K93" i="22" s="1"/>
  <c r="H73" i="22"/>
  <c r="H91" i="22" s="1"/>
  <c r="W71" i="22"/>
  <c r="T71" i="22"/>
  <c r="Q71" i="22"/>
  <c r="E71" i="22"/>
  <c r="AF70" i="22"/>
  <c r="W70" i="22"/>
  <c r="T70" i="22"/>
  <c r="Q70" i="22"/>
  <c r="K70" i="22"/>
  <c r="E70" i="22"/>
  <c r="AI69" i="22"/>
  <c r="AI39" i="22"/>
  <c r="AI38" i="22"/>
  <c r="AI37" i="22"/>
  <c r="E73" i="22"/>
  <c r="AI36" i="22"/>
  <c r="AI35" i="22"/>
  <c r="AI34" i="22"/>
  <c r="AI33" i="22"/>
  <c r="AI32" i="22"/>
  <c r="AI31" i="22"/>
  <c r="AI30" i="22"/>
  <c r="AI27" i="22"/>
  <c r="AI25" i="22"/>
  <c r="AI24" i="22"/>
  <c r="AI22" i="22"/>
  <c r="AI18" i="22"/>
  <c r="AI16" i="22"/>
  <c r="AI15" i="22"/>
  <c r="AI13" i="22"/>
  <c r="AI12" i="22"/>
  <c r="AI10" i="22"/>
  <c r="AI9" i="22"/>
  <c r="AI8" i="22"/>
  <c r="AI7" i="22"/>
  <c r="AI6" i="22"/>
  <c r="AI73" i="22" l="1"/>
  <c r="E91" i="22"/>
  <c r="AI70" i="22"/>
  <c r="AI88" i="22" s="1"/>
  <c r="W88" i="22"/>
  <c r="K88" i="22"/>
  <c r="AF88" i="22"/>
  <c r="Q88" i="22"/>
  <c r="T88" i="22"/>
  <c r="E90" i="22"/>
  <c r="AI71" i="22"/>
  <c r="AI90" i="22" s="1"/>
  <c r="AI91" i="22"/>
  <c r="E88" i="22"/>
  <c r="H90" i="22"/>
  <c r="H93" i="22" s="1"/>
  <c r="T90" i="22"/>
  <c r="T93" i="22" s="1"/>
  <c r="W90" i="22"/>
  <c r="W93" i="22" s="1"/>
  <c r="AF93" i="22"/>
  <c r="Q90" i="22"/>
  <c r="Q93" i="22" s="1"/>
  <c r="H70" i="22"/>
  <c r="H88" i="22" s="1"/>
  <c r="E93" i="22" l="1"/>
  <c r="AI93" i="22"/>
  <c r="C83" i="6"/>
  <c r="C78" i="6"/>
  <c r="C88" i="6" s="1"/>
  <c r="C69" i="6"/>
  <c r="C55" i="6"/>
  <c r="C77" i="6" s="1"/>
  <c r="C89" i="6" s="1"/>
  <c r="C43" i="6"/>
  <c r="C37" i="6"/>
  <c r="C49" i="6" s="1"/>
  <c r="C24" i="6"/>
  <c r="C20" i="6"/>
  <c r="C16" i="6"/>
  <c r="C9" i="6"/>
  <c r="C36" i="6" s="1"/>
  <c r="C83" i="5"/>
  <c r="C78" i="5"/>
  <c r="C69" i="5"/>
  <c r="C43" i="5"/>
  <c r="C37" i="5"/>
  <c r="C49" i="5" s="1"/>
  <c r="C24" i="5"/>
  <c r="C20" i="5"/>
  <c r="C9" i="5"/>
  <c r="D82" i="1"/>
  <c r="D77" i="1"/>
  <c r="D68" i="1"/>
  <c r="D54" i="1"/>
  <c r="D42" i="1"/>
  <c r="D36" i="1"/>
  <c r="D20" i="1"/>
  <c r="D9" i="1"/>
  <c r="D35" i="1" l="1"/>
  <c r="C94" i="5"/>
  <c r="C88" i="5"/>
  <c r="C77" i="5"/>
  <c r="C89" i="5" s="1"/>
  <c r="D76" i="1"/>
  <c r="C50" i="6"/>
  <c r="C93" i="6"/>
  <c r="D48" i="1"/>
  <c r="C36" i="5"/>
  <c r="D87" i="1"/>
  <c r="C50" i="5" l="1"/>
  <c r="C93" i="5"/>
  <c r="C92" i="4"/>
  <c r="D88" i="1"/>
  <c r="D93" i="1"/>
  <c r="C93" i="4"/>
  <c r="D49" i="1"/>
  <c r="D92" i="1"/>
</calcChain>
</file>

<file path=xl/sharedStrings.xml><?xml version="1.0" encoding="utf-8"?>
<sst xmlns="http://schemas.openxmlformats.org/spreadsheetml/2006/main" count="2893" uniqueCount="1039">
  <si>
    <t>Medgyesegyháza Városi Önkormányzat</t>
  </si>
  <si>
    <t>BEVÉTELEK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</si>
  <si>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</si>
  <si>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</si>
  <si>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</si>
  <si>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</si>
  <si>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</si>
  <si>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</si>
  <si>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</si>
  <si>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</si>
  <si>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</si>
  <si>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</si>
  <si>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</si>
  <si>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</si>
  <si>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</si>
  <si>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</si>
  <si>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</si>
  <si>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</si>
  <si>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</si>
  <si>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</si>
  <si>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</si>
  <si>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</si>
  <si>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</si>
  <si>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</si>
  <si>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</si>
  <si>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</si>
  <si>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</si>
  <si>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</si>
  <si>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</si>
  <si>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</si>
  <si>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</si>
  <si>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</si>
  <si>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</si>
  <si>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</si>
  <si>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</si>
  <si>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</si>
  <si>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</si>
  <si>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</si>
  <si>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</si>
  <si>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</si>
  <si>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</si>
  <si>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</si>
  <si>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</si>
  <si>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</si>
  <si>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</si>
  <si>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</si>
  <si>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Termékek és szolgáltatások adói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</si>
  <si>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</si>
  <si>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</si>
  <si>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</si>
  <si>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</si>
  <si>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</si>
  <si>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</si>
  <si>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</si>
  <si>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</si>
  <si>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</si>
  <si>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</si>
  <si>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</si>
  <si>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</si>
  <si>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</si>
  <si>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</si>
  <si>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</si>
  <si>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</si>
  <si>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</si>
  <si>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</si>
  <si>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</si>
  <si>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</si>
  <si>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</si>
  <si>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</si>
  <si>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</si>
  <si>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</si>
  <si>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</si>
  <si>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</si>
  <si>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</si>
  <si>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</si>
  <si>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</si>
  <si>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</si>
  <si>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</si>
  <si>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</si>
  <si>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</si>
  <si>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</si>
  <si>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</si>
  <si>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</si>
  <si>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</si>
  <si>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</si>
  <si>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</si>
  <si>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</si>
  <si>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</si>
  <si>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</si>
  <si>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</si>
  <si>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</si>
  <si>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</si>
  <si>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</si>
  <si>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</si>
  <si>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</si>
  <si>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</si>
  <si>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</si>
  <si>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</si>
  <si>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</si>
  <si>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</si>
  <si>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</si>
  <si>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</si>
  <si>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</si>
  <si>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</si>
  <si>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</si>
  <si>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</si>
  <si>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</si>
  <si>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</si>
  <si>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</si>
  <si>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</si>
  <si>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</si>
  <si>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</si>
  <si>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</si>
  <si>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</si>
  <si>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</si>
  <si>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</si>
  <si>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</si>
  <si>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</si>
  <si>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</si>
  <si>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</si>
  <si>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</si>
  <si>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</si>
  <si>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</si>
  <si>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</si>
  <si>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</si>
  <si>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</si>
  <si>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</si>
  <si>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</si>
  <si>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</si>
  <si>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</si>
  <si>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</si>
  <si>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</si>
  <si>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</si>
  <si>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</si>
  <si>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</si>
  <si>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</si>
  <si>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</si>
  <si>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</si>
  <si>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</si>
  <si>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</si>
  <si>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</si>
  <si>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</si>
  <si>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</si>
  <si>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</si>
  <si>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</si>
  <si>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</si>
  <si>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</si>
  <si>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</si>
  <si>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</si>
  <si>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</si>
  <si>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</si>
  <si>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</si>
  <si>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</si>
  <si>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</si>
  <si>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</si>
  <si>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</si>
  <si>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</si>
  <si>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Dologi Kiadások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</si>
  <si>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</si>
  <si>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</si>
  <si>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</si>
  <si>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</si>
  <si>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</si>
  <si>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</si>
  <si>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</si>
  <si>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Likviditási célú hitelek, kölcsönök felvétele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</si>
  <si>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</si>
  <si>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</si>
  <si>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</si>
  <si>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</si>
  <si>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</si>
  <si>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</si>
  <si>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</si>
  <si>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</si>
  <si>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</si>
  <si>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</si>
  <si>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</si>
  <si>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</si>
  <si>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</si>
  <si>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</si>
  <si>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</si>
  <si>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</si>
  <si>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</si>
  <si>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</si>
  <si>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</si>
  <si>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</si>
  <si>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</si>
  <si>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</si>
  <si>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F</t>
  </si>
  <si>
    <t>Beruházás megnevezése</t>
  </si>
  <si>
    <t>Teljes költség</t>
  </si>
  <si>
    <t>Kivitelezés kezdési 
és befejezési éve</t>
  </si>
  <si>
    <t>Összesen:</t>
  </si>
  <si>
    <t>Felújítás megnevezése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</si>
  <si>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</si>
  <si>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</si>
  <si>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</si>
  <si>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</si>
  <si>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</si>
  <si>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</si>
  <si>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</si>
  <si>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</si>
  <si>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</si>
  <si>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</si>
  <si>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</si>
  <si>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</si>
  <si>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</si>
  <si>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</si>
  <si>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Iparűzési adó</t>
  </si>
  <si>
    <t>Termőföld bérbeadás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</si>
  <si>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</si>
  <si>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</si>
  <si>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</si>
  <si>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</si>
  <si>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</si>
  <si>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</si>
  <si>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</si>
  <si>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</si>
  <si>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</si>
  <si>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</si>
  <si>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</si>
  <si>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</si>
  <si>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</si>
  <si>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</si>
  <si>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A települési önkormányzatok szociáis szakosított ellátási feladatok tám.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</si>
  <si>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</si>
  <si>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</si>
  <si>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</si>
  <si>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</si>
  <si>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</si>
  <si>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>Jelzőrendszeres házi segítségnyújtás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</si>
  <si>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</si>
  <si>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</si>
  <si>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</si>
  <si>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</si>
  <si>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</si>
  <si>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</si>
  <si>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</si>
  <si>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</si>
  <si>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</si>
  <si>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</si>
  <si>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</si>
  <si>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</si>
  <si>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</si>
  <si>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</si>
  <si>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</si>
  <si>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</si>
  <si>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</si>
  <si>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</si>
  <si>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</si>
  <si>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</si>
  <si>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2014. évi 
eredeti ei</t>
  </si>
  <si>
    <t>Önkormányzati igazgatási tevékenység</t>
  </si>
  <si>
    <t>Alaptevékenység összesen</t>
  </si>
  <si>
    <t>Kötelező:</t>
  </si>
  <si>
    <t>Kötelező/nem kötelező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</si>
  <si>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</si>
  <si>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</si>
  <si>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</si>
  <si>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</si>
  <si>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</si>
  <si>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</si>
  <si>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</si>
  <si>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</si>
  <si>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</si>
  <si>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Vagyongazdálkodás</t>
  </si>
  <si>
    <t>Óvodai nevelés, ellátás</t>
  </si>
  <si>
    <t>TÁMOP-3.2.11/10-1-2010-0220 pályázat utóköv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</si>
  <si>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</si>
  <si>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</si>
  <si>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</si>
  <si>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</si>
  <si>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</si>
  <si>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</si>
  <si>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</si>
  <si>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</si>
  <si>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</si>
  <si>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</si>
  <si>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Szakfeladat/Feladat</t>
  </si>
  <si>
    <t>Polgármesteri keret</t>
  </si>
  <si>
    <t>Lakóingatlanok bérbe adása</t>
  </si>
  <si>
    <t>Nem lakóingatlan bérbeadása, üzemeltetése</t>
  </si>
  <si>
    <t>Üzemorvosi díj</t>
  </si>
  <si>
    <t>Közvilágítás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</si>
  <si>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</si>
  <si>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</si>
  <si>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</si>
  <si>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</si>
  <si>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</si>
  <si>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</si>
  <si>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Általános Iskola - TÁMOP utókövetés</t>
  </si>
  <si>
    <t>Óvodai gyermekétkeztetés</t>
  </si>
  <si>
    <t>Iskolai gyermekétkeztetés</t>
  </si>
  <si>
    <t>Kötelező/ nem kötelező</t>
  </si>
  <si>
    <t>Finanszíroszási kiadások</t>
  </si>
  <si>
    <t>Engedélyezett létszám</t>
  </si>
  <si>
    <t>ebből: közfoglalkoztatott:</t>
  </si>
  <si>
    <t>2014.évi
 felhasználás</t>
  </si>
  <si>
    <t>Időskorúak bentlakásos szoc. ell.</t>
  </si>
  <si>
    <t xml:space="preserve">Engedélyezett létszám </t>
  </si>
  <si>
    <t>TÁMOP-3.2.11/10-1-2010-0220 
pályázat utókövetés</t>
  </si>
  <si>
    <t xml:space="preserve">Engedélyezett létszám           </t>
  </si>
  <si>
    <t>Kiegészító támogatás az óvodaped minősítéséből adódó többletkiadáshoz</t>
  </si>
  <si>
    <t>Céltartalék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</si>
  <si>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</si>
  <si>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</si>
  <si>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</si>
  <si>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</si>
  <si>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</si>
  <si>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</si>
  <si>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</si>
  <si>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</si>
  <si>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</si>
  <si>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</si>
  <si>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</si>
  <si>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</si>
  <si>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</si>
  <si>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Felhamozási céltartalék</t>
  </si>
  <si>
    <t>Költségvetési kiadások összesen: (1.+3.+5.+6.)</t>
  </si>
  <si>
    <t>Működési célú finanszírozási kiadások összesen: (=9.)</t>
  </si>
  <si>
    <t>Egyéb kötelező önkormányzati feladatok támogatása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</si>
  <si>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</si>
  <si>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</si>
  <si>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</si>
  <si>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</si>
  <si>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Felhasználás 
2016. XII. 31-ig</t>
  </si>
  <si>
    <t>ASP rendszer kialakítása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</si>
  <si>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</si>
  <si>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</si>
  <si>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</si>
  <si>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</si>
  <si>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Szennyvíz- és ivóvízhálózat gördülő tervezés miatti kiadásai</t>
  </si>
  <si>
    <t>Állami támogatások és megelőlegezések  visszafizetése</t>
  </si>
  <si>
    <t>Bursa Hungarica ösztöndíj</t>
  </si>
  <si>
    <t>Hulladéklerakó rekultiválás</t>
  </si>
  <si>
    <t>Gyógyszertámogatás</t>
  </si>
  <si>
    <t xml:space="preserve">TOP-5.2-1-15-BS1 Társadalmi együttműködés erősítését szolgáló helyi szintű </t>
  </si>
  <si>
    <t>TOP-2.1.2-15-BS1 Zöld város kialakítása</t>
  </si>
  <si>
    <t xml:space="preserve">TOP-5.2.1-15-BS1 Társadalmi együttműködés erősítését szolgáló helyi szintű </t>
  </si>
  <si>
    <t>TOP-1.4.1-15-BS1 Foglalkoztatás és életminőség javítása családbarát munkába….</t>
  </si>
  <si>
    <t>TOP-4.3.1-15-BS1 leromlot városi területek rehabilitációja</t>
  </si>
  <si>
    <t>TOP-4.3.1-15-BS1 Leromlot városi területek rehabilitációja</t>
  </si>
  <si>
    <t>TOP-4.1.1-15-BS1 Egészségügyi ellátás infrastukturális fejlesztése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</si>
  <si>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</si>
  <si>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</si>
  <si>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</si>
  <si>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</si>
  <si>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</si>
  <si>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</si>
  <si>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</si>
  <si>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</si>
  <si>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</si>
  <si>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</si>
  <si>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</si>
  <si>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</si>
  <si>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</si>
  <si>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</si>
  <si>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</si>
  <si>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</si>
  <si>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</si>
  <si>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</si>
  <si>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Medgyesegyháza Polgármesteri Hivatal</t>
  </si>
  <si>
    <t>1 fő munkatörvénykönyves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</si>
  <si>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</si>
  <si>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</si>
  <si>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</si>
  <si>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</si>
  <si>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16 fő köztisztviselő</t>
  </si>
  <si>
    <t>1 fő alpolgármester</t>
  </si>
  <si>
    <t>5 fő képviselő</t>
  </si>
  <si>
    <t>1.5.-ből Előző évi elszámolásból származó befizetések</t>
  </si>
  <si>
    <t>Felhalmozási célra átvett pénzeszköz</t>
  </si>
  <si>
    <t>Önkormányzatok felhalmozási támogatása</t>
  </si>
  <si>
    <t>Kompenzáció</t>
  </si>
  <si>
    <t>1.-ből EU-s forrásból megvalósuló beruházás</t>
  </si>
  <si>
    <t>117-</t>
  </si>
  <si>
    <t>Felhalmozási bevétel</t>
  </si>
  <si>
    <t>TOP-5.1.2-15-BS1 Foglalkoztatási paktum</t>
  </si>
  <si>
    <t>1.5.1</t>
  </si>
  <si>
    <t>1.5.2</t>
  </si>
  <si>
    <t>1.5.3</t>
  </si>
  <si>
    <t>1.5.4</t>
  </si>
  <si>
    <t>1.5.5</t>
  </si>
  <si>
    <t>1.6.1</t>
  </si>
  <si>
    <t>1.6.2</t>
  </si>
  <si>
    <t>Működési költségvetés kiadásai (1.1.+…+1.5.+1.6.)</t>
  </si>
  <si>
    <t>Előző évi költségvetési maradvány igénybe vétele</t>
  </si>
  <si>
    <t>Egyéb felhalmozási bevételek</t>
  </si>
  <si>
    <t>átlagos statisztikai 
állományi létszám</t>
  </si>
  <si>
    <t>2018. ÉVI KÖLTSÉGVETÉSÉNEK ÖSSZEVONT MÉRLEGE (forintban)</t>
  </si>
  <si>
    <t>2018. évi 
előirányzat</t>
  </si>
  <si>
    <t>2018. évi
mód. előir</t>
  </si>
  <si>
    <t>2018. évi telj</t>
  </si>
  <si>
    <t>2018. 
telj %</t>
  </si>
  <si>
    <t>2018. ÉVI KÖLTSÉGVETÉS KÖTELEZŐ FELADATAINAK MÉRLEGE (forintban)</t>
  </si>
  <si>
    <t>2018. ÉVI KÖLTSÉGVETÉS ÖNKÉNT VÁLLALT FELADATAINAK MÉRLEGE
(forintban)</t>
  </si>
  <si>
    <t>2018. ÉVI KÖLTSÉGVETÉS ÁLLAMIGAZGATÁSI FELADATAINAK MÉRLEGE
forintban</t>
  </si>
  <si>
    <t>2018. 
évi telj</t>
  </si>
  <si>
    <t>2018. évi előirányzat</t>
  </si>
  <si>
    <t>2018. 
mód ei.</t>
  </si>
  <si>
    <t>2018. évi
 előirányzat</t>
  </si>
  <si>
    <t>Ebből 2018. évi előleg</t>
  </si>
  <si>
    <t>2018. évi eredeti ei.</t>
  </si>
  <si>
    <t>2018. évi
 telj</t>
  </si>
  <si>
    <t>2018. évi 
telj</t>
  </si>
  <si>
    <t>2018. évi 
eredeti ei.</t>
  </si>
  <si>
    <t>2018. évi
telj</t>
  </si>
  <si>
    <t>2018. 
telj</t>
  </si>
  <si>
    <t>2018.
telj %</t>
  </si>
  <si>
    <t>2018. előirányzat</t>
  </si>
  <si>
    <t>2018. 
előirányzat</t>
  </si>
  <si>
    <t>2018. évi bevétel</t>
  </si>
  <si>
    <t>2018. évi eredeti Ei.</t>
  </si>
  <si>
    <t>2018. évi
mód. ei.</t>
  </si>
  <si>
    <t>2018.
telj</t>
  </si>
  <si>
    <t>2018. év utáni
szükséglet</t>
  </si>
  <si>
    <t>Polgármesteri illetmény támogatása</t>
  </si>
  <si>
    <t>Rászoruló gyermekek szünidei étkeztetésének támogatása</t>
  </si>
  <si>
    <t>Rákóczi utca felújítása</t>
  </si>
  <si>
    <t>VP6-7.2.1-7.4.1.2-16 Külterületi utak fejlesztése</t>
  </si>
  <si>
    <t>VP6-7.2.1-7.4.1.3-17 Helyi termékértékesítést szolgáló piacok infrastrukt. Fejleszt.</t>
  </si>
  <si>
    <t>Kulturális ágazati pótlék</t>
  </si>
  <si>
    <t>Összevont ágazati pótlék</t>
  </si>
  <si>
    <t>ASP rendszert használók céljuttatása</t>
  </si>
  <si>
    <t>Könyvtár érdekeltségnövelő támogatása</t>
  </si>
  <si>
    <t>Téli rezsiccsökkentés</t>
  </si>
  <si>
    <t>EFOP-1.5.3-16-2017-00060 Humán szolgálat</t>
  </si>
  <si>
    <t>EFOP-3.9.2-16-2017-00025 Konzorciumi tag</t>
  </si>
  <si>
    <t>Pótlékok</t>
  </si>
  <si>
    <t>Bírságok</t>
  </si>
  <si>
    <t>Országgyűlési választás</t>
  </si>
  <si>
    <t>Egyéb rendezvények</t>
  </si>
  <si>
    <t>EFOP-129 pályázat</t>
  </si>
  <si>
    <t>Rákóczi Ferenc utca  útburkolat felújítása</t>
  </si>
  <si>
    <t>Minibölcsőde kialakítása</t>
  </si>
  <si>
    <t>Pályázatok önerejére tartalék</t>
  </si>
  <si>
    <t>Lakhatási támogatás</t>
  </si>
  <si>
    <t>Rendkívüli települési támogatás - egyszeri segély</t>
  </si>
  <si>
    <t>Krízissegély</t>
  </si>
  <si>
    <t>Temetési segély</t>
  </si>
  <si>
    <t>Hulladékszállítási díjkedvezmény</t>
  </si>
  <si>
    <t>Tüzelőanyag természetbeni juttatása</t>
  </si>
  <si>
    <t>Hosszabb távú közfoglalkoztatás</t>
  </si>
  <si>
    <t>Útalap készítés Wesselényi és Irányi utca</t>
  </si>
  <si>
    <t>Település arculati kézikönyv</t>
  </si>
  <si>
    <r>
      <t>Szennyvízszippantás 100 Ft/m</t>
    </r>
    <r>
      <rPr>
        <vertAlign val="superscript"/>
        <sz val="10"/>
        <rFont val="Times New Roman"/>
        <family val="1"/>
        <charset val="238"/>
      </rPr>
      <t>3</t>
    </r>
  </si>
  <si>
    <t>Sportcsarnok, uszoda használati díja</t>
  </si>
  <si>
    <t>Dinnyefesztivál önkormányzati kiadásai</t>
  </si>
  <si>
    <t xml:space="preserve">Művelődési ház részére bevétel átadás + könyvtár pályázat </t>
  </si>
  <si>
    <t>VP6-7.2.1-7.4.1.2-16 Külterületi helyi utak  fejlesztése</t>
  </si>
  <si>
    <t>VP6-7.2.1-7.4.1.3-17 Helyi terméértékesítést szolgáló piacok infrastrukt fejleszt.</t>
  </si>
  <si>
    <t>TOP-5.1.2-15-BS1-2016-00008 Foglalkoztatási paktum</t>
  </si>
  <si>
    <t>EFOP-1.5.3-16-2017-00060 Humán szolgálat konzorciumi tag</t>
  </si>
  <si>
    <t>KEHOP-1.2.1 Pályázat</t>
  </si>
  <si>
    <t>Arany János utca felújítása</t>
  </si>
  <si>
    <t>Önkormányzat</t>
  </si>
  <si>
    <t>Helyi sajátosságokra épülő közfolglalkoztatás</t>
  </si>
  <si>
    <t>Lapvibrátor</t>
  </si>
  <si>
    <t>10 db Térkősablon</t>
  </si>
  <si>
    <t>Térkő roppantógép</t>
  </si>
  <si>
    <t>Digitális tolósúlyos mérleg 300 kg</t>
  </si>
  <si>
    <t>Kézikocsi</t>
  </si>
  <si>
    <t>Állvány tartozékaival</t>
  </si>
  <si>
    <t>Áramfejlesztő</t>
  </si>
  <si>
    <t>Mezőgazdaság</t>
  </si>
  <si>
    <t>150 mm -es fúrószár</t>
  </si>
  <si>
    <t>60 mm-es fúrószár</t>
  </si>
  <si>
    <t>500 W-os szivattyú</t>
  </si>
  <si>
    <t>Toldószár</t>
  </si>
  <si>
    <t>Gödörfúró</t>
  </si>
  <si>
    <t>Mezőgazdasági földutak karbantartása</t>
  </si>
  <si>
    <t>Kompresszor</t>
  </si>
  <si>
    <t>Startmunka összesen:</t>
  </si>
  <si>
    <t>TOP pályázatok</t>
  </si>
  <si>
    <t>VP6-7.2.1-7.4.1.2-16 Külterületi helyi utak fejlesztése</t>
  </si>
  <si>
    <t>VP6-7.2.1-7.4.1.3-17 Helyi termékértékesítést szolgáló piacok infrastukt. fejleszt.</t>
  </si>
  <si>
    <t>Pályázatok összesen:</t>
  </si>
  <si>
    <t>Háziorvosi körzetbe 1 db laptop és 1 db számítógép</t>
  </si>
  <si>
    <t>Batthyány utca 7 szám alatti ingatlan megvásárlása</t>
  </si>
  <si>
    <t>Képviselő testület kiadásai soron egy éven túl 
elhasználódó eszközök</t>
  </si>
  <si>
    <t>Könyvtár bútorbeszerzés önerő</t>
  </si>
  <si>
    <t>Önkormányzat összesen:</t>
  </si>
  <si>
    <t>Polgármesteri Hivatal</t>
  </si>
  <si>
    <t>1 éven túl elhasználódó eszközök</t>
  </si>
  <si>
    <t>Polgármesteri Hivatal összesen:</t>
  </si>
  <si>
    <t>Gondozási Központ</t>
  </si>
  <si>
    <t>Gondozási Központ összesen:</t>
  </si>
  <si>
    <t>Varázserdő Óvoda</t>
  </si>
  <si>
    <t>Óvoda összesen:</t>
  </si>
  <si>
    <t>Művelődési Ház és Könyvtár összesen:</t>
  </si>
  <si>
    <t>Gyermekorvos szolgálati lakás 2 db bejárati ajtó csere</t>
  </si>
  <si>
    <t>Rákóczi Ferenc utca útburkolat javítás (pályázat)</t>
  </si>
  <si>
    <t xml:space="preserve">Wesselényi utca útalap </t>
  </si>
  <si>
    <t>Irányi utca útalap</t>
  </si>
  <si>
    <t>Dózsa György utca 2. ingatlan villanyszerelés, fűtés és
 vizvezeték felújítás</t>
  </si>
  <si>
    <t>Arany János utca (Rákóczi és Deák között) felújítás önereje</t>
  </si>
  <si>
    <t>Ipari park</t>
  </si>
  <si>
    <t>Egyéb működési célú támogatások bevételei ÁHT-n belülről</t>
  </si>
  <si>
    <t>60 fő közmunkás</t>
  </si>
  <si>
    <t>7 db kártyaolvasó</t>
  </si>
  <si>
    <t>3 db Választásra függöny</t>
  </si>
  <si>
    <t>1 db Kávéfőző</t>
  </si>
  <si>
    <t>1 db Vezetékes telefon</t>
  </si>
  <si>
    <t>1 db Alumínium létra</t>
  </si>
  <si>
    <t>15 db függöny + 14 db sötétítő függöny</t>
  </si>
  <si>
    <t>Levegős szett</t>
  </si>
  <si>
    <t>Kályha</t>
  </si>
  <si>
    <t>Dr Dimák Sándor háziorvos részére 1 db notebook</t>
  </si>
  <si>
    <t>Dr Dimák Sándor háziorvos részére 1 db számítógép</t>
  </si>
  <si>
    <t>16 db jelzőtábla</t>
  </si>
  <si>
    <t>Felhasználás 
2017. XII. 31-ig</t>
  </si>
  <si>
    <t>1 fő</t>
  </si>
  <si>
    <t>5 fő</t>
  </si>
  <si>
    <t>31 fő közalkalmazott</t>
  </si>
  <si>
    <t>5 fő közalkalmazott</t>
  </si>
  <si>
    <t>2 fő külsős bizottsági tag</t>
  </si>
  <si>
    <t>2 fő</t>
  </si>
  <si>
    <t>I. Működési bevételek és kiadások mérlege 2018.</t>
  </si>
  <si>
    <t>I .Felhalmozási célú bevételek és kiadások mérlege 2018.</t>
  </si>
  <si>
    <t>Medgyesi napok futás</t>
  </si>
  <si>
    <t>TOP-5.3.1-16-BS1-2017-00006 Helyi identitás</t>
  </si>
  <si>
    <t>TOP-3.2.1-16 Önkormányzati épületek energetikai korszerűsítése</t>
  </si>
  <si>
    <t>Medgyesegyháza, Batthány u. 7. szám alatti ingatlan megvásárlása</t>
  </si>
  <si>
    <t>1 db Pendrive</t>
  </si>
  <si>
    <t>Traktor emelő krokodil</t>
  </si>
  <si>
    <t>1 db Villáskulcs készlet (24 db-os)</t>
  </si>
  <si>
    <t>Gallyazó létra</t>
  </si>
  <si>
    <t>1 db Akkumulátoros csavarbehajtó</t>
  </si>
  <si>
    <t>1 db Makita Fúrógép</t>
  </si>
  <si>
    <t>1 db Kávégép</t>
  </si>
  <si>
    <t>Diákmunkaprogram, rehabos foglalkoztatás</t>
  </si>
  <si>
    <t>1 db Konyhai mérleg</t>
  </si>
  <si>
    <t>2017. december havi kompenzáció</t>
  </si>
  <si>
    <t>Szociális tüzelőanyag pályázat</t>
  </si>
  <si>
    <t>Önkormányzatok rendkívüli támogatása</t>
  </si>
  <si>
    <t>Rezsitámogatás</t>
  </si>
  <si>
    <t>Éven túli célhitel felvétele</t>
  </si>
  <si>
    <t>TOP-5.3.1-16 Helyi identitás fejlesztése</t>
  </si>
  <si>
    <t>Gyermekvédelmi Erzsébet utalvány</t>
  </si>
  <si>
    <t>2019. évi megelőlegezés</t>
  </si>
  <si>
    <t>Talajvédelmi járulék</t>
  </si>
  <si>
    <t>Nemzeti kulturális alaphoz pályázat</t>
  </si>
  <si>
    <t>GYVT-sek részére Erzsébet utalvány</t>
  </si>
  <si>
    <t>Rákóczi köz útalap</t>
  </si>
  <si>
    <t>Mentor menedzsmenttől üzletrész vásárlás</t>
  </si>
  <si>
    <t>Éves teljesítés</t>
  </si>
  <si>
    <t>Medgyesegyháza Város Önkormányzat 2018 évi bevételeinek alakulása - Önkormányzat
Éves teljesítés
forintban</t>
  </si>
  <si>
    <t>Medgyesegyháza Város Önkormányzat 2018. évi bevételeinek alakulása - Medgyesegyházi Polgármesteri Hivatal
Éves teljesítés
forintban</t>
  </si>
  <si>
    <t>Medgyesegyháza Város Önkormányzat 2018. évi bevételeinek alakulása - Gondozási Központ 
Éves teljesítés
(forintban)</t>
  </si>
  <si>
    <t>Medgyesegyháza Város Önkormányzat 2018. évi bevételeinek alakulása - Varázserdő Óvoda
Éves teljesítés
forintban</t>
  </si>
  <si>
    <t>Medgyesegyháza Város Önkormányzat 2018. évi bevételeinek alakulása - Művelődési Ház és Könyvtár 
Éves teljesítés
(forintban)</t>
  </si>
  <si>
    <t>Az Önkormányzat 2018. évi kiadások kiemelt előirányzatonként
Éves teljesítés
forintban</t>
  </si>
  <si>
    <t>Medgyesegyházi Polgármesteri Hivatal 2018. évi kiadások kiemelt előirányzatonként
Éves teljesítés
forintban</t>
  </si>
  <si>
    <t>Gondozási Központ 2018. évi kiadások kiemelt előirányzatonként
Éves teljesítés
forintban</t>
  </si>
  <si>
    <t>Varázserdő Óvoda 2018. évi kiadások kiemelt előirányzatonként
Éves teljesítés
forintban</t>
  </si>
  <si>
    <t>Művelődési Ház és Könyvtár 2018. évi kiadások kiemelt előirányzatonként
Éves teljesítés
forintban</t>
  </si>
  <si>
    <t>Beruházási (felhalmozási) kiadások előírányzata beruházásonként 2018.
Éves teljesítés</t>
  </si>
  <si>
    <t>Felújítási kiadások előírányzata felújításonként 2018
Éves teljesítés</t>
  </si>
  <si>
    <t>Helyi adók (4.1.1.+4.1.2)</t>
  </si>
  <si>
    <t>60 fő</t>
  </si>
  <si>
    <t>15 fő</t>
  </si>
  <si>
    <t xml:space="preserve">3 fő </t>
  </si>
  <si>
    <t>1 fő TOP-5.2.1-15-BS1 Társadalmi együttműk erősödését szolg</t>
  </si>
  <si>
    <t>3 fő EFOP-1.5.3-16-2017-00060 Humán szolgálat konzorciumi tag</t>
  </si>
  <si>
    <t>15 fő hosszabb távú közfoglalkoztatott</t>
  </si>
  <si>
    <t>16 fő</t>
  </si>
  <si>
    <t>31 fő</t>
  </si>
  <si>
    <t>23 fő</t>
  </si>
  <si>
    <t>1 fő rehabos foglalkoztatott</t>
  </si>
  <si>
    <t>4 fő</t>
  </si>
  <si>
    <t>2018. július 1. napjától 3 fő közfoglalkoztatott</t>
  </si>
  <si>
    <t>Összesen:   169      fő</t>
  </si>
  <si>
    <t>166 fő</t>
  </si>
  <si>
    <t>3 db Kandelláber felszerelése a Polgármesteri Hivatal elé</t>
  </si>
  <si>
    <t>Mentor Menedzsmentő üzletrész vásárlás</t>
  </si>
  <si>
    <t>1 db fénymásoló Xerox 5855 típusú</t>
  </si>
  <si>
    <t>1 db TB Masotr külső HDD</t>
  </si>
  <si>
    <t>1 db Boombox vasaló</t>
  </si>
  <si>
    <t>1 db SE 62 Vizes porszívó</t>
  </si>
  <si>
    <t>1 db Router</t>
  </si>
  <si>
    <t>1 db Xerox fénymásoló</t>
  </si>
  <si>
    <t>1 db Bölcsődei öltözőszekrény</t>
  </si>
  <si>
    <t>1 db Klímaberendezés</t>
  </si>
  <si>
    <t>1 db Bosch porszívó</t>
  </si>
  <si>
    <t>1 db Tálaló szekrény</t>
  </si>
  <si>
    <t>1 db Tálaló polc</t>
  </si>
  <si>
    <t>1 db Termoláda ételszállításhoz</t>
  </si>
  <si>
    <t>1 db Levestároló</t>
  </si>
  <si>
    <t>2 db Rakott étel tároló</t>
  </si>
  <si>
    <t>1 db Köret tároló</t>
  </si>
  <si>
    <t>1 db Feltét tároló</t>
  </si>
  <si>
    <t>1 db Savanyúság tároló</t>
  </si>
  <si>
    <t>1 db Desszert tároló</t>
  </si>
  <si>
    <t>1 db Látásvizsgáló</t>
  </si>
  <si>
    <t>Ivóvíztelepen számítógép felújítás</t>
  </si>
  <si>
    <t>Rákóczi köz útalap felújítás</t>
  </si>
  <si>
    <t>Forintban</t>
  </si>
  <si>
    <t>Évek</t>
  </si>
  <si>
    <t>2017.</t>
  </si>
  <si>
    <t>Összesen
F=(C+D+E)</t>
  </si>
  <si>
    <t>ÖSSZES KÖTELEZETTSÉG:</t>
  </si>
  <si>
    <t>Medgyesegyháza Városi Önkormányzat 2018. évi adósságot keletkeztető ügyletekből és kötelezettségvállalásokból 
fennálló kötelezettségei</t>
  </si>
  <si>
    <t>2018.</t>
  </si>
  <si>
    <t>2019.</t>
  </si>
  <si>
    <t xml:space="preserve">37 243 444 Ft Éven túli célhitel </t>
  </si>
  <si>
    <t>2017. évi 
előirányzat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</si>
  <si>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</si>
  <si>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</si>
  <si>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</si>
  <si>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származó bevétel</t>
  </si>
  <si>
    <t>Bírság-, pótlék- díjbevétel</t>
  </si>
  <si>
    <t>Kezesség,- illetve garanciavállalással kapcsolatos megtérülés</t>
  </si>
  <si>
    <t>SAJÁT BEVÉTELEK ÖSSZESEN:</t>
  </si>
  <si>
    <t>Medgyesegyháza Városi Önkormányzat 2018. évi saját bevételeinek részletezése az adósságot keletkeztető ügyletekből származó tárgyévi fizetési kötelezettség megállapításához</t>
  </si>
  <si>
    <t>Fejlesztési cél leírása</t>
  </si>
  <si>
    <t>Medgyesegyháza Városi Önkormányzat 2018. évi adósságot keletkeztető 
fejlesztési céljai</t>
  </si>
  <si>
    <t>Ipari Park kialakításához szükséges terműföld művelés alol történő 
kivonásához kapcsolódó földvédelmi járulék</t>
  </si>
  <si>
    <t>Fejlesztés  kiadása</t>
  </si>
  <si>
    <t>Forintban!</t>
  </si>
  <si>
    <t>ADÓSSÁGOT KELETKEZTETŐ ÜGYLETEK 
 EGYÜTTES ÖSSZEGE</t>
  </si>
  <si>
    <t>MEGNEVEZÉS</t>
  </si>
  <si>
    <t>ADOTT KEDVEZMÉNY</t>
  </si>
  <si>
    <t>Ellátottak térítési díjának, illetve kártérítésésnek méltányossági alapon történő elengedésének összege</t>
  </si>
  <si>
    <t>Lakosság részére lakásépítéshez, lakásfelújításhoz nyújtott kölcsönök elengedésének összege</t>
  </si>
  <si>
    <t>Egyéb nyújtott kedvezmény vagy kölcsön elengedésének összege (szemétszállítási díjkedvezmény)</t>
  </si>
  <si>
    <t xml:space="preserve">Gépjárműadónál biztosított kedvezmény, mentesség összege </t>
  </si>
  <si>
    <t>Talajterhelési díj kedvezmény, mentesség összege</t>
  </si>
  <si>
    <t>Építményadó</t>
  </si>
  <si>
    <t>Helyi iparűzési adó</t>
  </si>
  <si>
    <t>Helyiségek, eszközök hasznosításából származó bevételből nyújtott kedvezmény, mentesség összege</t>
  </si>
  <si>
    <t>Kommunális adó</t>
  </si>
  <si>
    <t>Az államháztartásról szóló 2011. évi CXCV. Törvény 24. § (4) bekezés c) pontja alapján 2018. évi költségvetési beszámoló a  közvetett támogatásokról</t>
  </si>
  <si>
    <t>10. melléklet A .../2019. (...) önkormányzati rendelethez</t>
  </si>
  <si>
    <t>Európai Uniós támogatással megvalósuló porjektek
bevételei, kiadásai, hozzájárulások</t>
  </si>
  <si>
    <t>EU-s projekt neve, azonosítója: TOP-5.2.1-15-BS1 Társadalmi együttműködés erősítését szolgáló…</t>
  </si>
  <si>
    <t>Források</t>
  </si>
  <si>
    <t>Saját erő</t>
  </si>
  <si>
    <t xml:space="preserve">    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</si>
  <si>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</si>
  <si>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</si>
  <si>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</si>
  <si>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</si>
  <si>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</si>
  <si>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</si>
  <si>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</si>
  <si>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</si>
  <si>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</si>
  <si>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</si>
  <si>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Kiadások, költségek összesen:</t>
  </si>
  <si>
    <t>EU-s projekt neve, azonosítója: TOP-2.1.15-BS1 Zöld város kialakítása</t>
  </si>
  <si>
    <t>EU-s projekt neve, azonosítója: TOP-1.4.1-15-BS1 Foglalkoztatás és életminőség javítása családbarát munkába…</t>
  </si>
  <si>
    <t>EU-s projekt neve, azonosítója: TOP-4.1.1-15-BS1 Egészségügyi ellátás infrstruktúrális fejlesztése</t>
  </si>
  <si>
    <t>EU-s projekt neve, azonosítója: TOP-5.1.2-15 Foglalkoztatási paktum</t>
  </si>
  <si>
    <t>EU-s projekt neve, azonosítója: VP6-7.2.1-7.4.1.2-16 Külterületi helyi utak fejlesztése</t>
  </si>
  <si>
    <t>EU-s projekt neve, azonosítója: VP6-7.2.1-7.4.1.3-17 Helyi termékértékesítést szolgáló piacok infrasturkt. fejleszt.</t>
  </si>
  <si>
    <t>2018. után</t>
  </si>
  <si>
    <t>11. melléklet a ……../2019.(…………) önkormányzati rendelethez</t>
  </si>
  <si>
    <t>EU-s projekt neve, azonosítója: EFOP-1.5.3-16-2017-000060 Humán szolgálat</t>
  </si>
  <si>
    <t>EU-s projekt neve, azonosítója: EFOP-3.9.2-16-2017-000025 Konzorciumi tag</t>
  </si>
  <si>
    <t>EU-s projekt neve, azonosítója: TOP-4.3.1-15-BS1 Leromlott városi területek rehabilitációja</t>
  </si>
  <si>
    <t>EU-s projekt neve, azonosítója: TOP-5.3.1-16 Helyi identitás fejlesztése</t>
  </si>
  <si>
    <t>Teljesítés</t>
  </si>
  <si>
    <t>Telj %-a</t>
  </si>
  <si>
    <t>Kistérségi ügyeleti ellátás</t>
  </si>
  <si>
    <t>Kistérségi belső ellenőrzés</t>
  </si>
  <si>
    <t>Civil szervezetek támogatása</t>
  </si>
  <si>
    <t>Kunágotai Lovasklub</t>
  </si>
  <si>
    <t>Medgyesegyházi Sportegyesület</t>
  </si>
  <si>
    <t>A Romaság Hagyományaiért és Jövőjéért Egyesület</t>
  </si>
  <si>
    <t>Rákóczi Szövetség</t>
  </si>
  <si>
    <t>Hetednapi Adventista Egyház</t>
  </si>
  <si>
    <t>Medgyesegyháza és Bánkút Mozgáskorlátozottak 
Egyesülete</t>
  </si>
  <si>
    <t>Boldog Otthon Alapítvány</t>
  </si>
  <si>
    <t xml:space="preserve">Varázserdő Alapítvány </t>
  </si>
  <si>
    <t>Lakosság részére szennyvízártalmatlanítás</t>
  </si>
  <si>
    <t>Medgyesegházi Településüzemeltetési Nonprofit Kft.</t>
  </si>
  <si>
    <t>Bursa Hungaria</t>
  </si>
  <si>
    <t>Dr. Hargel Ahmed</t>
  </si>
  <si>
    <t>Pénzeszköz átadás összesen:</t>
  </si>
  <si>
    <t xml:space="preserve">2018. évi eredeti 
előirányzat </t>
  </si>
  <si>
    <t>2018. évi módosított
 előirányzat</t>
  </si>
  <si>
    <t>Gyulai Közüzem működési hozzájárulás</t>
  </si>
  <si>
    <t>MEDGYESEGYHÁZA VÁROSI ÖNKORMÁNYZAT 2018. ÉVI PÉNZESZKÖZ ÁTADÁSA</t>
  </si>
  <si>
    <t>12. melléklet ..../2019. (...) önkormányzati rendelethez</t>
  </si>
  <si>
    <t>Diákpolgármester választás Szeberényi Gusztáv Adolf Evangélikus gimnázium</t>
  </si>
  <si>
    <t>Magyarországi Légimentők Szentes</t>
  </si>
  <si>
    <t>Medgyesegyházi Evangélikus Egyházközség</t>
  </si>
  <si>
    <t>Szent Mihály Plébánia</t>
  </si>
  <si>
    <t xml:space="preserve">Művelődési Ház és Könyvtár részére leszámlázott bérleti díj </t>
  </si>
  <si>
    <t>adatok  Ft-ban</t>
  </si>
  <si>
    <t>Sorszám</t>
  </si>
  <si>
    <t>Összeg</t>
  </si>
  <si>
    <t>Önk</t>
  </si>
  <si>
    <t>PMH</t>
  </si>
  <si>
    <t>GKP</t>
  </si>
  <si>
    <t>VE</t>
  </si>
  <si>
    <t>31. számlák (hosszú lejáratú betétek) nyitó egyenlege</t>
  </si>
  <si>
    <t>32. számlák (pénztár, csekk, betét) nyitó egyenlege</t>
  </si>
  <si>
    <t>33. számlák (fizetési számlák) nyitó egyenlege</t>
  </si>
  <si>
    <t>NYITÓ PÉNZKÉSZLET</t>
  </si>
  <si>
    <t>Bevételi rovatos forgalom (005 szemben 09rovat3)</t>
  </si>
  <si>
    <t>Maradvány igÉnybe vétel (T005-K09813) ez fporg nélkül</t>
  </si>
  <si>
    <t>Kiadási rovatos forgalom (05rovat3 szemben 003)</t>
  </si>
  <si>
    <t>36. forgalom (31,32,33,499 szemben 361,362,363,365,366,367)</t>
  </si>
  <si>
    <t>413. forgalom (31,32,33 szemben 413)</t>
  </si>
  <si>
    <t>494. forgalom (31,32,33 szemben 494)</t>
  </si>
  <si>
    <t>852. forgalom (31,32,33 szemben 852)</t>
  </si>
  <si>
    <t>843. forgalom (31,32,33 szemben 843 az előleg ÁFA miatt)</t>
  </si>
  <si>
    <t>PÉNZKÉSZLET VÁLTOZÁSA ÖSSZESEN (005-006-007+,,,+012</t>
  </si>
  <si>
    <t>31. számlák (hosszú lejáratú betétek) záró egyenlege</t>
  </si>
  <si>
    <t>32. számlák (pénztár, csekk, betét) záró egyenlege</t>
  </si>
  <si>
    <t>33. számlák (fizetési számlák) záró egyenlege</t>
  </si>
  <si>
    <t>ZÁRÓ PÉNZKÉSZLET</t>
  </si>
  <si>
    <t>13. melléklet  .../2019. (...) önkormányzati rendelethez</t>
  </si>
  <si>
    <t>Medgyesegyháza Városi Önkormányzat 2018. évi pénzeszköz változása</t>
  </si>
  <si>
    <t>2018. évi előirányzat összege</t>
  </si>
  <si>
    <t>Medgyesegyházi Polgármesteri Hivatal 2018. évi pénzeszköz változása</t>
  </si>
  <si>
    <t>Medgyesegyháza Városi Önkormányzat Gondozási Központ
 2018. évi pénzeszköz változása</t>
  </si>
  <si>
    <t>Medgyesegyházi Varázserdő Óvoda  2018. évi pénzeszköz változása</t>
  </si>
  <si>
    <t>Medgyesegyháza Városi Önkormányzat Művelődési Ház és Könyvtár
 2018. évi pénzeszköz változása</t>
  </si>
  <si>
    <t>Maradvány igénybe vétel (T005-K09813) ez fporg nélkül</t>
  </si>
  <si>
    <t>Sorsz.</t>
  </si>
  <si>
    <t>01</t>
  </si>
  <si>
    <t>Otthonteremtési támogatás [Gyvt. 25-27. §]</t>
  </si>
  <si>
    <t>02</t>
  </si>
  <si>
    <t>GYES-en és GYED-en lévők hallgatói hitelének célzott támogatása [1/2012. (I. 20.) Korm. r. 18. §]</t>
  </si>
  <si>
    <t>03</t>
  </si>
  <si>
    <t>Egyéb pénzbeli és természetbeni gyermekvédelmi támogatások</t>
  </si>
  <si>
    <t>04</t>
  </si>
  <si>
    <t>Kiegészítő gyermekvédelmi támogatás és a kiegészítő gyermekvédelmi támogatás pótléka [Gyvt. 20/B.´§]</t>
  </si>
  <si>
    <t>05</t>
  </si>
  <si>
    <t>Pénzben nyújtott óvodáztatási támogatás [Gyvt. 20/C. §]</t>
  </si>
  <si>
    <t>06</t>
  </si>
  <si>
    <t>Helyi megállapítású pénzben nyújtott rendkívüli gyermekvédelmi támogatás [Gyvt. 21.§]</t>
  </si>
  <si>
    <t>07</t>
  </si>
  <si>
    <t>Természetben nyújtott rendkívüli gyermekvédelmi támogatás [Gyvt. 18. § (5) bek.]</t>
  </si>
  <si>
    <t>08</t>
  </si>
  <si>
    <t>Természetben nyújtott óvodáztatási támogatás [Gyvt. 20/C.§ (4) bek.]</t>
  </si>
  <si>
    <t>09</t>
  </si>
  <si>
    <t>Egyéb családi támogatás</t>
  </si>
  <si>
    <t>10</t>
  </si>
  <si>
    <t>Családi támogatások (01+…+09)</t>
  </si>
  <si>
    <t>11</t>
  </si>
  <si>
    <t>Ápolási díj [Szoctv. 43/A. § (1) és (4) bek.]</t>
  </si>
  <si>
    <t>12</t>
  </si>
  <si>
    <t>Mozgáskorlátozottak személygépkocsi-szerzési és -átalakítási támogatása [102/2011. (VI. 29.) Korm. r. 4-5. § ]</t>
  </si>
  <si>
    <t>13</t>
  </si>
  <si>
    <t>Közgyógyellátás [Szoctv.50.§ (1)-(2) bek.]</t>
  </si>
  <si>
    <t>14</t>
  </si>
  <si>
    <t>Helyi megállapítású ápolási díj  [Szoctv. 43/B. §]</t>
  </si>
  <si>
    <t>15</t>
  </si>
  <si>
    <t>Helyi megállapítású közgyógyellátás [Szoctv.50.§ (3) bek.]</t>
  </si>
  <si>
    <t>16</t>
  </si>
  <si>
    <t>Egyéb betegséggel és fogyatékossággal kapcsolatos nem társadalombiztosítási ellátások</t>
  </si>
  <si>
    <t>17</t>
  </si>
  <si>
    <t>Betegséggel és fogyatékossággal kapcsolatos nem társadalombiztosítási ellátások (11+…+16)</t>
  </si>
  <si>
    <t>18</t>
  </si>
  <si>
    <t>Foglalkoztatást helyettesítő támogatás [Szoctv. 35. § (1) bek ]</t>
  </si>
  <si>
    <t>19</t>
  </si>
  <si>
    <t>Egyéb foglalkoztatással, munkanélküliséggel kapcsolatos ellátások</t>
  </si>
  <si>
    <t>20</t>
  </si>
  <si>
    <t>Foglalkoztatással, munkanélküliséggel kapcsolatos ellátások (18+…+19)</t>
  </si>
  <si>
    <t>21</t>
  </si>
  <si>
    <t>Hozzájárulás a lakossági energiaköltségekhez</t>
  </si>
  <si>
    <t>22</t>
  </si>
  <si>
    <t>Lakásfenntartási támogatás [Szoctv. 38. § (1) bek. a) és b) pontok]</t>
  </si>
  <si>
    <t>23</t>
  </si>
  <si>
    <t>Adósságcsökkentési támogatás [Szoctv. 55/A. § 1. bek. b) pont]</t>
  </si>
  <si>
    <t>24</t>
  </si>
  <si>
    <t>Természetben nyújtott lakásfenntartási támogatás [Szoctv. 47.§ (1) bek. b) pont]</t>
  </si>
  <si>
    <t>25</t>
  </si>
  <si>
    <t>Adósságkezelési szolgáltatás keretében gáz-vagy áram fogyasztást mérő készülék biztosítása [Szoctv. 55/A. § (3) bek.]</t>
  </si>
  <si>
    <t>26</t>
  </si>
  <si>
    <t>Adósságkezelési szolgáltatásban részesülőknek kifizetett lakásfenntartási támogatás Szt. 38. § (1) bek. (b) pont</t>
  </si>
  <si>
    <t>27</t>
  </si>
  <si>
    <t>Egyéb lakhatással kapcsolatos ellátások</t>
  </si>
  <si>
    <t>28</t>
  </si>
  <si>
    <t>Lakhatással kapcsolatos ellátások (21+…+27)</t>
  </si>
  <si>
    <t>29</t>
  </si>
  <si>
    <t>Állami gondozottak pénzbeli juttatásai</t>
  </si>
  <si>
    <t>30</t>
  </si>
  <si>
    <t>Oktatásban résztvevők pénzbeli juttatásai</t>
  </si>
  <si>
    <t>31</t>
  </si>
  <si>
    <t>Intézményi ellátottak egyéb pénzbeli juttatásai</t>
  </si>
  <si>
    <t>32</t>
  </si>
  <si>
    <t>Intézményi ellátottak pénzbeli juttatásai (29+…+31)</t>
  </si>
  <si>
    <t>33</t>
  </si>
  <si>
    <t>Hadigondozottak Közalapítványát terhelő hadigondozotti ellátások</t>
  </si>
  <si>
    <t>34</t>
  </si>
  <si>
    <t>A Nemzet Színésze címet viselő színészek havi életjáradéka, művészeti nyugdíjsegélyek, balettművészeti életjáradék</t>
  </si>
  <si>
    <t>35</t>
  </si>
  <si>
    <t>Az elhunyt akadémikusok hozzátartozóinak folyósított özvegyi- és árvaellátás</t>
  </si>
  <si>
    <t>36</t>
  </si>
  <si>
    <t>A Nemzet Sportolója címmel járó járadék, olimpiai járadék, idős sportolók szociális támogatása</t>
  </si>
  <si>
    <t>37</t>
  </si>
  <si>
    <t>Bevándorlási és Állampolgársági Hivatal által folyósított ellátások</t>
  </si>
  <si>
    <t>38</t>
  </si>
  <si>
    <t>Időskorúak járadéka [Szoctv. 32/B. § (1) bek.]</t>
  </si>
  <si>
    <t>39</t>
  </si>
  <si>
    <t>Rendszeres szociális segély [Szoctv. 37. § (1) bek. a) - d) pontok]</t>
  </si>
  <si>
    <t>40</t>
  </si>
  <si>
    <t>Önkormányzati segély [Szoctv. 45.§]</t>
  </si>
  <si>
    <t>41</t>
  </si>
  <si>
    <t>Köztemetés [Szoctv. 48.§]</t>
  </si>
  <si>
    <t>42</t>
  </si>
  <si>
    <t>Települési támogatás (Szoctv. 45. §)</t>
  </si>
  <si>
    <t>43</t>
  </si>
  <si>
    <t>Természetben nyújtott rendszeres szociális segély                                                       [Szoctv. 47.§ (1) bek. a) pont]</t>
  </si>
  <si>
    <t>44</t>
  </si>
  <si>
    <t>Átmeneti segély [Szoctv. 47.§ (1) bek. c) pont]</t>
  </si>
  <si>
    <t>45</t>
  </si>
  <si>
    <t>Temetési segély [Szoctv. 47.§ (1) bek. d) pont}</t>
  </si>
  <si>
    <t>46</t>
  </si>
  <si>
    <t>Rászorultságtól függõ normatív kedvezmények [Gyvt. 151.§ (5) bek.]</t>
  </si>
  <si>
    <t>47</t>
  </si>
  <si>
    <t>Önkormányzat által saját hatáskörben (nem szociális és gyermekvédelmi előírások alapján) adott pénzügyi ellátás</t>
  </si>
  <si>
    <t>49</t>
  </si>
  <si>
    <t>Egyéb nem intézményi ellátások  (33+…+48)</t>
  </si>
  <si>
    <t>50</t>
  </si>
  <si>
    <t>Ellátottak pénzbeli juttatásai (10+17+20+28+32+49)</t>
  </si>
  <si>
    <t>Eredeti 
előirányzat</t>
  </si>
  <si>
    <t>Módosított 
előirányzat</t>
  </si>
  <si>
    <t>Gazdasági társaság megnevezés</t>
  </si>
  <si>
    <t>2017. év</t>
  </si>
  <si>
    <t xml:space="preserve">részesedés könyv 
szerinti értéke
</t>
  </si>
  <si>
    <t xml:space="preserve">Értékvesztés értéke
</t>
  </si>
  <si>
    <t xml:space="preserve">Medgyesegyházi Településüzemeltetési 
Nonprofit Kft.  </t>
  </si>
  <si>
    <t>Közvill Első Magyar Közvilágítási Zrt.</t>
  </si>
  <si>
    <t>Békés-Manifest Közszolgáltató 
Nonprofit Kft.</t>
  </si>
  <si>
    <t>Medgyesegyházi Kész Nonprofit Kft</t>
  </si>
  <si>
    <t>beolvadt  a Medgyesegyházi Településüzemeltetési Nonprofit Kft.-be</t>
  </si>
  <si>
    <t>Gyulai Közüzemi Kft</t>
  </si>
  <si>
    <t>Dél-Békési Jövőkép Nonprofit Kft.</t>
  </si>
  <si>
    <t>Európai Uniós Társadalmi Célú 
Nonprofit Kft.</t>
  </si>
  <si>
    <t>Európai közös Jövőépítő Korlátolt Felelősségű Európai Területi
 Együttműködési Csoportosulás</t>
  </si>
  <si>
    <t>Ipari Park</t>
  </si>
  <si>
    <t>Részesedések összesen:</t>
  </si>
  <si>
    <t>Medgyesgyháza Város Önkormányzat tartós részesedéseinek kimutatása és értékelése
2018. december 31-én 
Forintban!</t>
  </si>
  <si>
    <t>2018. évi változás</t>
  </si>
  <si>
    <t>15. melléklet ..../2019. (...) önkormányzati rendelethez</t>
  </si>
  <si>
    <t xml:space="preserve">V A G Y O N K I M U T A T Á S </t>
  </si>
  <si>
    <t>a könyvviteli mérlegben szereplő eszközökről</t>
  </si>
  <si>
    <t>ESZKÖZÖK</t>
  </si>
  <si>
    <t>Bruttó</t>
  </si>
  <si>
    <t>Könyv 
szerinti</t>
  </si>
  <si>
    <t>Tárgyév</t>
  </si>
  <si>
    <t>állományi érték</t>
  </si>
  <si>
    <t>"0-ra leírt"</t>
  </si>
  <si>
    <t>Békéscsabai Tankerület részére vagyonkezelésbe adott eszközök</t>
  </si>
  <si>
    <t>Államháztartáson belül vagyonkezelésbe adott KFK vagyoni értékű jogok  aktivált állományának értéke</t>
  </si>
  <si>
    <t>Államháztartáson belül vagyonkezelésbe adott KFK egyéb épületek aktivált állományának értéke</t>
  </si>
  <si>
    <t>Államháztartáson belül vagyonkezelésbe adott FKS informatikai eszközök aktivált állományának értéke</t>
  </si>
  <si>
    <t>Államháztartáson belül vagyonkezelésbe adott KFK egyéb gép, berendezés és felszerelés aktivált állományának értéke</t>
  </si>
  <si>
    <t>Államháztartáson belül vagyonkezelésbe adott FKS egyéb gép, berendezés és felszerelés aktivált állományának értéke</t>
  </si>
  <si>
    <t>Államháztartáson belül vagyonkezelésbe adott KFK informatikai eszközök aktivált állományának értéke</t>
  </si>
  <si>
    <t>Államháztartáson belül vagyonkezelésbe adott FKS informatikai kisértékű eszközök aktivált állományának értéke</t>
  </si>
  <si>
    <t>Államháztartáson belül vagyonkezelésbe adott FKS kisértékű egyéb gép, berendezés és felszerelés aktivált állományának értéke</t>
  </si>
  <si>
    <t>Vagyonkezelésbe adott eszközök aktivált értéke</t>
  </si>
  <si>
    <t>KFK vagyoni értékű jogok aktivált állományának értéke</t>
  </si>
  <si>
    <t>FKS vagyoni értékű jogok aktivált állományának értéke</t>
  </si>
  <si>
    <t>KFK szellemi termékek aktivált állományának értéke</t>
  </si>
  <si>
    <t>FKS szellemi termékek akitvált állományak értéke</t>
  </si>
  <si>
    <t>FKS kisértékű szellemi termékek akitvált állományak értéke</t>
  </si>
  <si>
    <t>A/I.</t>
  </si>
  <si>
    <t xml:space="preserve">Immateriális javak összesen </t>
  </si>
  <si>
    <t>Kizárólagos nemzeti vagyonba tartozó termőföldek aktivált állománya</t>
  </si>
  <si>
    <t>KFK termőföldek aktiválkt állományának értéke</t>
  </si>
  <si>
    <t>FKS termőföldek aktivált állományak értéke</t>
  </si>
  <si>
    <t>Kizárólagos nemzeti vagyonba tartozó lakótelkek aktivált állományának értéke</t>
  </si>
  <si>
    <t>KFK egyéb célú telkek aktivált állományának értéke</t>
  </si>
  <si>
    <t>FKS egyéb célú telkek aktivált állományának értéke</t>
  </si>
  <si>
    <t>FKS lakóépületek  (ide értve lakások) aktivált állományának értéke</t>
  </si>
  <si>
    <t>KFK egyéb épületek aktivált állományának értéke</t>
  </si>
  <si>
    <t>FKS egyéb épületek aktivált állományának értéke</t>
  </si>
  <si>
    <t>Kizárólagos nemzeti vagyonba tartozó különféle egyéb építmények
 aktivált állományának értéke</t>
  </si>
  <si>
    <t>KFK különféle egyéb építmények aktivált állományának értéke</t>
  </si>
  <si>
    <t>FKS különféle egyéb építmények aktivált állományának értéke</t>
  </si>
  <si>
    <t>KFK üzemelére átadott lakótelkek állományának értéke</t>
  </si>
  <si>
    <t>FKS üzemelére átadott lakótelkek állományának értéke</t>
  </si>
  <si>
    <t>FKS üzemelére átadott legyéb célú telkek állományának értéke</t>
  </si>
  <si>
    <t>KFK üzemelésre átadott egyéb épületek állományának értéke</t>
  </si>
  <si>
    <t>FKS üzemelésre átadott egyéb épületek állományának értéke</t>
  </si>
  <si>
    <t>KFK üzemelésre átadott egyéb építmények állományának értéke</t>
  </si>
  <si>
    <t>A/II/1</t>
  </si>
  <si>
    <t>KFK informatikai eszközök aktivált állományának értéke</t>
  </si>
  <si>
    <t>FKS informatikai eszközök aktivált állományának értéke</t>
  </si>
  <si>
    <t>KFK egyéb gép, berendezés és felszerelés aktivált állományának értéke</t>
  </si>
  <si>
    <t>FKS egyéb gép, berendezés és felszerelés aktivált állományának értéke</t>
  </si>
  <si>
    <t>Kizárólagos nemzeti vagyonba tartoozó egyéb állományba vett, értékét nem 
csökkentő eszköz aktivált állományának értéke</t>
  </si>
  <si>
    <t>KFK egyéb, állományba vett, értékét nem csökkentő eszköz aktivált 
állományának értéke</t>
  </si>
  <si>
    <t>FKS egyéb, állományba vett, értékét nem csökkentő eszköz aktivált 
állományának értéke</t>
  </si>
  <si>
    <t>KFK járművek aktivált állományának értéke</t>
  </si>
  <si>
    <t>FKS járművek aktivált állományának értéke</t>
  </si>
  <si>
    <t>FKS üzemelésre átadott egyéb gép, berendezés és felszerelés értéke</t>
  </si>
  <si>
    <t>KFK kisértékű informatikai eszközök értéke</t>
  </si>
  <si>
    <t>FKS kisértékű informatikai eszközök értéke</t>
  </si>
  <si>
    <t>KFK kisértékű egyéb gép, berendezés és felszerelés értéke</t>
  </si>
  <si>
    <t>FKS kisértékű egyéb gép, berendezés és felszerelés értéke</t>
  </si>
  <si>
    <t>KFK üzemelésre átadott egyéb gép, berendezés és felszerelés értéke</t>
  </si>
  <si>
    <t>KFK üzemelésre átadott járművek értéke</t>
  </si>
  <si>
    <t>FKS üzemelésre átadott járművek értéke</t>
  </si>
  <si>
    <t>A/II/2</t>
  </si>
  <si>
    <t>Gépek, berendezések, felszerelések, járművek</t>
  </si>
  <si>
    <t>A/II/4</t>
  </si>
  <si>
    <t>Beruházások, felújítások</t>
  </si>
  <si>
    <t>A/II</t>
  </si>
  <si>
    <t>Tárgyi eszközök</t>
  </si>
  <si>
    <t>Medgyesegyháza Városi Önkormányzat és az irányítása alá tartozó intézmények mérlege 
forintban!</t>
  </si>
  <si>
    <t>Előző időszak</t>
  </si>
  <si>
    <t>Módosítások</t>
  </si>
  <si>
    <t>Tárgyidőszak</t>
  </si>
  <si>
    <t>A/I/1 Vagyoni értékű jogok</t>
  </si>
  <si>
    <t>A/I Immateriális javak</t>
  </si>
  <si>
    <t>A/II/1 Ingatlanok és a kapcsdoldó vagyoni értékű jogok</t>
  </si>
  <si>
    <t>A/II/2 Gépek, berendezések, felszerelések, járművek</t>
  </si>
  <si>
    <t>A/II/4 Beruházások, felújítások</t>
  </si>
  <si>
    <t>A/II Tárgyi eszközök</t>
  </si>
  <si>
    <t>A/III/1 Tartós részesedések</t>
  </si>
  <si>
    <t>A/III/1b - ebből: tartós részesedések nem pénzügyi vállalkozásban</t>
  </si>
  <si>
    <t>A/III/1e - ebből: egyéb tartós részesedések</t>
  </si>
  <si>
    <t>A/III Befektetett pénzügyi eszközök</t>
  </si>
  <si>
    <t>A) Nemzeti vagyonba tartozó befektetett eszközök</t>
  </si>
  <si>
    <t>B/I/1 Vásárolt készletek</t>
  </si>
  <si>
    <t>B/I/4 Befejezetlen termelés, félkész termékek, késztermékek</t>
  </si>
  <si>
    <t>B/I Készletek</t>
  </si>
  <si>
    <t>B) Nemzeti vagyonba tartozó forgóeszközök</t>
  </si>
  <si>
    <t xml:space="preserve">C/II/1 Forintpénztár </t>
  </si>
  <si>
    <t>C/II Pénztárak, csekkek, betétkönyvek</t>
  </si>
  <si>
    <t>C/III/1 Kincstáron kívüli forintszámlák</t>
  </si>
  <si>
    <t>C/III Forintszámlák</t>
  </si>
  <si>
    <t>C) Pénzeszközök</t>
  </si>
  <si>
    <t>D/I/3 Költségvetési évben esedékes követelések közhatalmi bevételre</t>
  </si>
  <si>
    <t>D/I/3e - költségvetési évben esedékes követelések termékek és szolgáltatások adóira</t>
  </si>
  <si>
    <t>D/I/3f -  költségvetési évben esedékes követelések egyéb közhatalmi bevételre</t>
  </si>
  <si>
    <t>D/I/4 Költségvetési évben esedékes követelések működési bevételre</t>
  </si>
  <si>
    <t>D/I/4a  - költségvetési évben esedékes követelések készletértékesítés ellenértékére, 
szolgáltatások ellenértékére, közvetített szolgáltatások ellenértékére</t>
  </si>
  <si>
    <t>D/I/4b - költségvetési évben esedékes követelések tulajdonosi bevételekre</t>
  </si>
  <si>
    <t>D/I/4c - költségvetési évben esedékes követelések ellátási díjakra</t>
  </si>
  <si>
    <t>D/I/4d - költségvetési évbern esedékes követelések kiszámlázott ÁFÁ-ra</t>
  </si>
  <si>
    <t>D/I/4i - költségvetési évben esedékes követelések egyéb működési bevételre</t>
  </si>
  <si>
    <t xml:space="preserve">D/I Költségvetési évben esedékes követelések </t>
  </si>
  <si>
    <t>D/II/4 Költségvetési évetkövetően esedékes követelések működési bevételre</t>
  </si>
  <si>
    <t>D/II/4e - költségvetési évet követően esedékes követelések ÁFA visszatérülésre</t>
  </si>
  <si>
    <t>D/II Költségvetési évet követően esedékes követelések</t>
  </si>
  <si>
    <t>DIII/1 Adott előlegek</t>
  </si>
  <si>
    <t>D/III/1e - foglalkoztatottaknak adott előlegek</t>
  </si>
  <si>
    <t>D/III/4 Forgótőke elszámolása</t>
  </si>
  <si>
    <t>D/III Követelés jellegű sajátos elszámolások</t>
  </si>
  <si>
    <t>D) Követelések</t>
  </si>
  <si>
    <t>E/I/2 Más előzetesen felszámított levonható általános forgalmi adó</t>
  </si>
  <si>
    <t>E/I Előzetesen felszámított általános forgalmi adó elszámolása</t>
  </si>
  <si>
    <t>E/II/2 Más fizetendő általános forgalmi adó</t>
  </si>
  <si>
    <t>E/II Fizetendő általános forgalmi adó elszámolása</t>
  </si>
  <si>
    <t>E) EGYÉB SAJÁTOS ELSZÁMOLÁSOK</t>
  </si>
  <si>
    <t>Eszközök összesen</t>
  </si>
  <si>
    <t>G/I Nemzeti vagyon induláskori értéke</t>
  </si>
  <si>
    <t>G/II Nemzeti vagyon változásai</t>
  </si>
  <si>
    <t>G/III/3 Pénzezközökön kívüli egyéb eszközök induláskori értéke és változásai</t>
  </si>
  <si>
    <t xml:space="preserve">G/III Egyéb eszközök induláskori értéke és változásai </t>
  </si>
  <si>
    <t>G/IV Felhalmozott eredmény</t>
  </si>
  <si>
    <t>G/VI Mérleg szerinti eredmény</t>
  </si>
  <si>
    <t>G/Saját tőke</t>
  </si>
  <si>
    <t>H/I/3 Költségvetési évben esedékes kötelezettségek dologi kiadásokra</t>
  </si>
  <si>
    <t>H/I/4 Költségevéti évben esedékes kötelzettségek ellátottak pénzbeli juttatásaira</t>
  </si>
  <si>
    <t>H/I/6 Költségvetési évben esedékes kötelezettségek beruházásokra</t>
  </si>
  <si>
    <t>H/II/3 Költségvetési évet követően esedékes kötelezettségek dologi kiadásokra</t>
  </si>
  <si>
    <t>H/II/9 Költségvetési évet követően esedékes kötelezettségek finanszírozási kiadásokra</t>
  </si>
  <si>
    <t>H/II/9e - költségvetési évetkövetően esedékes kötelezettségek államháztartáson belüli 
megelőlegezések visszafizetésére</t>
  </si>
  <si>
    <t>H/II Költségvetési évet követően esedékes kötelezettségek</t>
  </si>
  <si>
    <t>H/III/1 Kapott előlegek</t>
  </si>
  <si>
    <t>H/III/3 Más szervezetet megillető bevételek elszámolása</t>
  </si>
  <si>
    <t>H/III/8 Letétre, megőrzésre, fedezetkezlésre átvett pénzeszközök, biztosítékok</t>
  </si>
  <si>
    <t>H/III Kötlerezettség jellegű sajátos elszámolások</t>
  </si>
  <si>
    <t>H) Kötelezettségek</t>
  </si>
  <si>
    <t>J/2 Költségek, ráfordítások passzív időbeli elhatárolása</t>
  </si>
  <si>
    <t xml:space="preserve">J/3 Halasztott eredményszemléletű bevételek </t>
  </si>
  <si>
    <t>J) Passzív időbeli elhatárolások</t>
  </si>
  <si>
    <t>2018. év</t>
  </si>
  <si>
    <t>16.  melléklet  …../2019.(……...) Ök. rendelethez</t>
  </si>
  <si>
    <t>Ingatlanok és kapcsolódó vagyonértékű jogok összesen</t>
  </si>
  <si>
    <t>C/III/2 Kincstárban vezetett forintszámlák</t>
  </si>
  <si>
    <t>D/III/1b - ebből: beruházásokra, felújításokra adott előlegek</t>
  </si>
  <si>
    <t>D/III/1d - ebből: igénybe vett szolgáltatásora adott előlegek</t>
  </si>
  <si>
    <t>E/I/3 Adott előleghez kapcsolódó előzetesen felszámított nem levonható általános
 forgalmi adó</t>
  </si>
  <si>
    <t>H/I Költségvetési évben esedékes kötelezettségek</t>
  </si>
  <si>
    <t>H/II/9a - ebből: költségvetési évet követően esedékes kötelezettségek hosszú 
lejáratú hitelek, kölcsönök törlesztésére pénzügyi vállalkozásnak</t>
  </si>
  <si>
    <t>G) Vállalkozási tevékenység felhasználható 
maradványa (=B - F)</t>
  </si>
  <si>
    <t>19.</t>
  </si>
  <si>
    <t>F) Vállalkozási tevékenységet terhelő befizetési
 kötelezettség (= B*0,1)</t>
  </si>
  <si>
    <t>E) Alaptevékenység szabad maradványa (= A - D)</t>
  </si>
  <si>
    <t>D) Alaptevékenység kötelezettséggel terhelt maradványa</t>
  </si>
  <si>
    <t>C) Összes maradvány (= A + B)</t>
  </si>
  <si>
    <t>B) Vállakozási tevékenység maradványa (III + IV)</t>
  </si>
  <si>
    <t>IV. Vállalkozási tevékenység finanszírozási 
egyenlege (= 07 - 08)</t>
  </si>
  <si>
    <t>08 Vállalkozási tevékenység finanszírozási kiadásai</t>
  </si>
  <si>
    <t>07 Vállalkozási tevékenység finanszírozási bevételei</t>
  </si>
  <si>
    <t>Vállakozási tevékenység költségvetési egyenlege (= 05 - 06)</t>
  </si>
  <si>
    <t>06 Vállalkozási tevékenység költségvetési kiadásai</t>
  </si>
  <si>
    <t>05 Vállalkozási tevékenység költségvetési bevételei</t>
  </si>
  <si>
    <t>A) Alaptevékenység maradványa = I + II</t>
  </si>
  <si>
    <t>II. Alaptevényenységi finanszírozási egyenlege (= 03 - 04)</t>
  </si>
  <si>
    <t>04 Alaptevékenységi finanszírozási kiadásai</t>
  </si>
  <si>
    <t>03 Alaptevékenység finanszírozási bevételei</t>
  </si>
  <si>
    <t>I. Alaptevékenység költségvetési egyenlege (= 01 - 02)</t>
  </si>
  <si>
    <t>02 Alaptevékenység költségvetési kiadásai</t>
  </si>
  <si>
    <t>01 Alaptevékenység költségvetési bevételei</t>
  </si>
  <si>
    <t>Műv. Ház</t>
  </si>
  <si>
    <t>Polgármesteri 
Hivatal</t>
  </si>
  <si>
    <t>Varázserdő 
Óvoda</t>
  </si>
  <si>
    <t>Gondozási
 Központ</t>
  </si>
  <si>
    <t>Mindösszesen</t>
  </si>
  <si>
    <t>adatok  forintban</t>
  </si>
  <si>
    <t>Medgyesegyháza Városi Önkormányzat 2018. évi
KÖLTSÉGVETÉSI MARADVÁNY KIMUTATÁSA</t>
  </si>
  <si>
    <t>17. melléklet ..../2019. (...) önkormányzati rendelethez</t>
  </si>
  <si>
    <t>1.1. melléklet a          /2019.(………………) önkormányzati rendelethez</t>
  </si>
  <si>
    <t>1.2. melléklet a          /2019.(………………) önkormányzati rendelethez</t>
  </si>
  <si>
    <t>1.3. melléklet a          /2019.(………………) önkormányzati rendelethez</t>
  </si>
  <si>
    <t>1.4. melléklet a …….../2019.(………………) önkormányzati rendelethez</t>
  </si>
  <si>
    <t>2.1. melléklet a              ………/2019.(………..) önkormányzati rendelethez</t>
  </si>
  <si>
    <t>2.2. melléklet a  ………/2019.(………..) önkormányzati rendelethez</t>
  </si>
  <si>
    <t>3.1. melléklet a ……./2019.(……………..) önkormányzati rendelethez</t>
  </si>
  <si>
    <t>3.2. melléklet ..../2019. (…...) önkormányzati rendelethez</t>
  </si>
  <si>
    <t>3.3.  melléklet a .../2019. (....) önkormányzati rendelethez</t>
  </si>
  <si>
    <t>3.4.  melléklet a .../2019. (....) önkormányzati rendelethez</t>
  </si>
  <si>
    <t>3.5.  melléklet a .../2019. (....) önkormányzati rendelethez</t>
  </si>
  <si>
    <t>4.1.  melléklet a ..../2019. (....) önkormányzati rendelethez</t>
  </si>
  <si>
    <t>4.2. melléklet .../2019. (...)  önkormányzati rendelethez</t>
  </si>
  <si>
    <t>4.3. melléklet a .../2019. (....) önkormányzati rendelethez</t>
  </si>
  <si>
    <t>4.4. melléklet a .../2019. (....) önkormányzati rendelethez</t>
  </si>
  <si>
    <t>4.5. melléklet a .../2019. (....) önkormányzati rendelethez</t>
  </si>
  <si>
    <t>5. melléklet a ……/2019.(…………) önkormányzati rendelethez</t>
  </si>
  <si>
    <t>6. melléklet a ……/2019.(…………) önkormányzati rendelethez</t>
  </si>
  <si>
    <t>7. számú melléklet a ……../2019.(………..) önkormányzati rendelethez</t>
  </si>
  <si>
    <t>8. számú  melléklet a ………/2019.(………) önkormányzati rendelethez</t>
  </si>
  <si>
    <t>9. melléklet a ………/2019.(…………..) önkormányzati rendelethet</t>
  </si>
  <si>
    <t xml:space="preserve"> Medgyesegyháza Városi Önkormányzat 2018. évi 
Önkormányzat által folyósított ellátások előirányzata és teljesítése</t>
  </si>
  <si>
    <t>14. melléklet ..../2019. (...) önkormányzati rendelethez</t>
  </si>
  <si>
    <t>KFK egyéb, állományba vett kisértékű tárgyi eszközök</t>
  </si>
  <si>
    <t>FKN Informatikai eszközök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</si>
</sst>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F_t_-;\-* #,##0\ _F_t_-;_-* &quot;-&quot;\ _F_t_-;_-@_-"/>
    <numFmt numFmtId="43" formatCode="_-* #,##0.00\ _F_t_-;\-* #,##0.00\ _F_t_-;_-* &quot;-&quot;??\ _F_t_-;_-@_-"/>
    <numFmt numFmtId="164" formatCode="0.0"/>
    <numFmt numFmtId="165" formatCode="#,##0.000"/>
    <numFmt numFmtId="166" formatCode="_-* #,##0\ _F_t_-;\-* #,##0\ _F_t_-;_-* &quot;-&quot;??\ _F_t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vertAlign val="superscript"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0"/>
    <xf numFmtId="0" fontId="3" fillId="0" borderId="0"/>
    <xf numFmtId="43" fontId="52" fillId="0" borderId="0" applyFont="0" applyFill="0" applyBorder="0" applyAlignment="0" applyProtection="0"/>
    <xf numFmtId="0" fontId="5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925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/>
    <xf numFmtId="49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/>
    <xf numFmtId="0" fontId="10" fillId="0" borderId="6" xfId="0" applyFont="1" applyBorder="1"/>
    <xf numFmtId="0" fontId="11" fillId="0" borderId="9" xfId="0" applyFont="1" applyBorder="1"/>
    <xf numFmtId="0" fontId="10" fillId="0" borderId="6" xfId="0" applyFont="1" applyBorder="1" applyAlignment="1">
      <alignment wrapText="1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10" xfId="0" applyNumberFormat="1" applyFont="1" applyBorder="1" applyAlignment="1">
      <alignment horizontal="center"/>
    </xf>
    <xf numFmtId="0" fontId="10" fillId="0" borderId="11" xfId="0" applyFont="1" applyBorder="1"/>
    <xf numFmtId="49" fontId="11" fillId="0" borderId="4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49" fontId="10" fillId="0" borderId="5" xfId="0" applyNumberFormat="1" applyFont="1" applyBorder="1" applyAlignment="1">
      <alignment horizontal="center" wrapText="1"/>
    </xf>
    <xf numFmtId="49" fontId="11" fillId="0" borderId="9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0" fontId="11" fillId="0" borderId="13" xfId="0" applyFont="1" applyBorder="1"/>
    <xf numFmtId="49" fontId="10" fillId="0" borderId="14" xfId="0" applyNumberFormat="1" applyFont="1" applyBorder="1" applyAlignment="1">
      <alignment horizontal="center"/>
    </xf>
    <xf numFmtId="0" fontId="10" fillId="0" borderId="12" xfId="0" applyFont="1" applyBorder="1"/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1" xfId="5" applyFont="1" applyBorder="1"/>
    <xf numFmtId="0" fontId="13" fillId="0" borderId="1" xfId="5" applyFont="1" applyBorder="1" applyAlignment="1">
      <alignment horizontal="center"/>
    </xf>
    <xf numFmtId="0" fontId="12" fillId="0" borderId="0" xfId="5" applyFont="1"/>
    <xf numFmtId="0" fontId="14" fillId="0" borderId="1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/>
    </xf>
    <xf numFmtId="3" fontId="23" fillId="2" borderId="1" xfId="5" applyNumberFormat="1" applyFont="1" applyFill="1" applyBorder="1" applyAlignment="1">
      <alignment wrapText="1"/>
    </xf>
    <xf numFmtId="0" fontId="24" fillId="0" borderId="1" xfId="5" applyFont="1" applyBorder="1" applyAlignment="1">
      <alignment vertical="center"/>
    </xf>
    <xf numFmtId="3" fontId="8" fillId="0" borderId="0" xfId="5" applyNumberFormat="1"/>
    <xf numFmtId="0" fontId="8" fillId="0" borderId="0" xfId="5"/>
    <xf numFmtId="0" fontId="13" fillId="0" borderId="1" xfId="5" applyFont="1" applyBorder="1" applyAlignment="1">
      <alignment horizontal="center" wrapText="1"/>
    </xf>
    <xf numFmtId="0" fontId="13" fillId="2" borderId="1" xfId="5" applyFont="1" applyFill="1" applyBorder="1" applyAlignment="1">
      <alignment horizontal="center"/>
    </xf>
    <xf numFmtId="0" fontId="24" fillId="2" borderId="1" xfId="5" applyFont="1" applyFill="1" applyBorder="1" applyAlignment="1">
      <alignment vertical="center"/>
    </xf>
    <xf numFmtId="0" fontId="8" fillId="2" borderId="0" xfId="5" applyFill="1"/>
    <xf numFmtId="0" fontId="8" fillId="0" borderId="1" xfId="5" applyBorder="1"/>
    <xf numFmtId="0" fontId="25" fillId="0" borderId="1" xfId="5" applyFont="1" applyFill="1" applyBorder="1" applyAlignment="1">
      <alignment vertical="center"/>
    </xf>
    <xf numFmtId="0" fontId="8" fillId="0" borderId="0" xfId="5" applyBorder="1"/>
    <xf numFmtId="0" fontId="14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center" vertical="center"/>
    </xf>
    <xf numFmtId="0" fontId="22" fillId="2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vertical="center"/>
    </xf>
    <xf numFmtId="0" fontId="25" fillId="2" borderId="1" xfId="5" applyFont="1" applyFill="1" applyBorder="1" applyAlignment="1">
      <alignment vertical="center"/>
    </xf>
    <xf numFmtId="0" fontId="27" fillId="2" borderId="1" xfId="5" applyFont="1" applyFill="1" applyBorder="1" applyAlignment="1">
      <alignment vertical="center"/>
    </xf>
    <xf numFmtId="0" fontId="22" fillId="2" borderId="1" xfId="5" applyFont="1" applyFill="1" applyBorder="1" applyAlignment="1">
      <alignment horizontal="center" vertical="center"/>
    </xf>
    <xf numFmtId="0" fontId="19" fillId="2" borderId="0" xfId="5" applyFont="1" applyFill="1"/>
    <xf numFmtId="0" fontId="8" fillId="2" borderId="0" xfId="5" applyFill="1" applyBorder="1"/>
    <xf numFmtId="0" fontId="28" fillId="2" borderId="1" xfId="5" applyFont="1" applyFill="1" applyBorder="1" applyAlignment="1">
      <alignment horizontal="center"/>
    </xf>
    <xf numFmtId="0" fontId="23" fillId="2" borderId="0" xfId="5" applyFont="1" applyFill="1"/>
    <xf numFmtId="0" fontId="30" fillId="2" borderId="1" xfId="5" applyFont="1" applyFill="1" applyBorder="1" applyAlignment="1">
      <alignment horizontal="center" wrapText="1"/>
    </xf>
    <xf numFmtId="0" fontId="31" fillId="2" borderId="1" xfId="5" applyFont="1" applyFill="1" applyBorder="1" applyAlignment="1">
      <alignment horizontal="center" vertical="center"/>
    </xf>
    <xf numFmtId="0" fontId="23" fillId="2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/>
    </xf>
    <xf numFmtId="0" fontId="17" fillId="0" borderId="1" xfId="5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0" fontId="23" fillId="0" borderId="0" xfId="5" applyFont="1" applyFill="1"/>
    <xf numFmtId="0" fontId="23" fillId="2" borderId="1" xfId="5" applyFont="1" applyFill="1" applyBorder="1"/>
    <xf numFmtId="0" fontId="23" fillId="2" borderId="1" xfId="5" applyFont="1" applyFill="1" applyBorder="1" applyAlignment="1">
      <alignment vertical="center"/>
    </xf>
    <xf numFmtId="0" fontId="14" fillId="2" borderId="1" xfId="5" applyFont="1" applyFill="1" applyBorder="1" applyAlignment="1">
      <alignment horizontal="center" wrapText="1"/>
    </xf>
    <xf numFmtId="3" fontId="23" fillId="2" borderId="0" xfId="5" applyNumberFormat="1" applyFont="1" applyFill="1"/>
    <xf numFmtId="0" fontId="28" fillId="2" borderId="1" xfId="5" applyFont="1" applyFill="1" applyBorder="1"/>
    <xf numFmtId="0" fontId="17" fillId="2" borderId="1" xfId="5" applyFont="1" applyFill="1" applyBorder="1" applyAlignment="1">
      <alignment vertical="center"/>
    </xf>
    <xf numFmtId="3" fontId="17" fillId="2" borderId="1" xfId="5" applyNumberFormat="1" applyFont="1" applyFill="1" applyBorder="1" applyAlignment="1">
      <alignment horizontal="right" vertical="center"/>
    </xf>
    <xf numFmtId="3" fontId="23" fillId="2" borderId="1" xfId="5" applyNumberFormat="1" applyFont="1" applyFill="1" applyBorder="1"/>
    <xf numFmtId="3" fontId="32" fillId="2" borderId="1" xfId="5" applyNumberFormat="1" applyFont="1" applyFill="1" applyBorder="1"/>
    <xf numFmtId="0" fontId="28" fillId="2" borderId="0" xfId="5" applyFont="1" applyFill="1"/>
    <xf numFmtId="0" fontId="28" fillId="2" borderId="1" xfId="5" applyFont="1" applyFill="1" applyBorder="1" applyAlignment="1">
      <alignment vertical="center"/>
    </xf>
    <xf numFmtId="0" fontId="23" fillId="2" borderId="1" xfId="5" applyFont="1" applyFill="1" applyBorder="1" applyAlignment="1">
      <alignment horizontal="left" vertical="center" wrapText="1"/>
    </xf>
    <xf numFmtId="0" fontId="17" fillId="2" borderId="1" xfId="5" applyFont="1" applyFill="1" applyBorder="1" applyAlignment="1">
      <alignment horizontal="right" vertical="center"/>
    </xf>
    <xf numFmtId="0" fontId="32" fillId="2" borderId="1" xfId="5" applyFont="1" applyFill="1" applyBorder="1" applyAlignment="1">
      <alignment horizontal="right" vertical="center"/>
    </xf>
    <xf numFmtId="0" fontId="23" fillId="2" borderId="1" xfId="5" applyFont="1" applyFill="1" applyBorder="1" applyAlignment="1">
      <alignment horizontal="right" vertical="center"/>
    </xf>
    <xf numFmtId="0" fontId="12" fillId="0" borderId="0" xfId="5" applyFont="1" applyAlignment="1">
      <alignment horizontal="right"/>
    </xf>
    <xf numFmtId="0" fontId="23" fillId="0" borderId="1" xfId="5" applyFont="1" applyFill="1" applyBorder="1" applyAlignment="1">
      <alignment horizontal="center"/>
    </xf>
    <xf numFmtId="0" fontId="29" fillId="0" borderId="0" xfId="5" applyFont="1" applyFill="1" applyBorder="1" applyAlignment="1">
      <alignment horizontal="center" vertical="center"/>
    </xf>
    <xf numFmtId="0" fontId="30" fillId="0" borderId="1" xfId="5" applyFont="1" applyFill="1" applyBorder="1" applyAlignment="1">
      <alignment horizontal="center" wrapText="1"/>
    </xf>
    <xf numFmtId="0" fontId="31" fillId="0" borderId="1" xfId="5" applyFont="1" applyFill="1" applyBorder="1" applyAlignment="1">
      <alignment horizontal="center" vertical="center"/>
    </xf>
    <xf numFmtId="0" fontId="32" fillId="0" borderId="1" xfId="5" applyFont="1" applyFill="1" applyBorder="1" applyAlignment="1">
      <alignment horizontal="center" vertical="center" wrapText="1"/>
    </xf>
    <xf numFmtId="0" fontId="32" fillId="0" borderId="0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23" fillId="0" borderId="1" xfId="5" applyFont="1" applyFill="1" applyBorder="1"/>
    <xf numFmtId="3" fontId="32" fillId="0" borderId="0" xfId="5" applyNumberFormat="1" applyFont="1" applyFill="1" applyBorder="1" applyAlignment="1">
      <alignment horizontal="right" vertical="center" wrapText="1"/>
    </xf>
    <xf numFmtId="0" fontId="30" fillId="0" borderId="1" xfId="5" applyFont="1" applyFill="1" applyBorder="1" applyAlignment="1">
      <alignment horizontal="center"/>
    </xf>
    <xf numFmtId="0" fontId="32" fillId="0" borderId="1" xfId="5" applyFont="1" applyFill="1" applyBorder="1" applyAlignment="1">
      <alignment vertical="center"/>
    </xf>
    <xf numFmtId="0" fontId="32" fillId="0" borderId="0" xfId="5" applyFont="1" applyFill="1"/>
    <xf numFmtId="0" fontId="23" fillId="0" borderId="1" xfId="5" applyFont="1" applyFill="1" applyBorder="1" applyAlignment="1">
      <alignment vertical="center"/>
    </xf>
    <xf numFmtId="3" fontId="23" fillId="0" borderId="0" xfId="5" applyNumberFormat="1" applyFont="1" applyFill="1" applyBorder="1" applyAlignment="1">
      <alignment horizontal="right" vertical="center" wrapText="1"/>
    </xf>
    <xf numFmtId="3" fontId="33" fillId="0" borderId="0" xfId="5" applyNumberFormat="1" applyFont="1" applyFill="1" applyBorder="1" applyAlignment="1">
      <alignment vertical="center"/>
    </xf>
    <xf numFmtId="3" fontId="23" fillId="0" borderId="0" xfId="5" applyNumberFormat="1" applyFont="1" applyFill="1" applyBorder="1"/>
    <xf numFmtId="0" fontId="32" fillId="0" borderId="1" xfId="5" applyFont="1" applyFill="1" applyBorder="1"/>
    <xf numFmtId="3" fontId="23" fillId="0" borderId="0" xfId="5" applyNumberFormat="1" applyFont="1" applyFill="1"/>
    <xf numFmtId="0" fontId="10" fillId="0" borderId="4" xfId="0" applyFont="1" applyBorder="1"/>
    <xf numFmtId="1" fontId="11" fillId="0" borderId="1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3" fontId="32" fillId="0" borderId="0" xfId="5" applyNumberFormat="1" applyFont="1" applyFill="1" applyBorder="1"/>
    <xf numFmtId="3" fontId="11" fillId="0" borderId="0" xfId="0" applyNumberFormat="1" applyFont="1"/>
    <xf numFmtId="3" fontId="10" fillId="0" borderId="6" xfId="0" applyNumberFormat="1" applyFont="1" applyBorder="1" applyAlignment="1">
      <alignment horizontal="center"/>
    </xf>
    <xf numFmtId="165" fontId="17" fillId="0" borderId="1" xfId="2" applyNumberFormat="1" applyFont="1" applyFill="1" applyBorder="1" applyAlignment="1">
      <alignment horizontal="right" vertical="center"/>
    </xf>
    <xf numFmtId="165" fontId="17" fillId="5" borderId="1" xfId="2" applyNumberFormat="1" applyFont="1" applyFill="1" applyBorder="1" applyAlignment="1">
      <alignment horizontal="right" vertical="center"/>
    </xf>
    <xf numFmtId="165" fontId="17" fillId="0" borderId="1" xfId="5" applyNumberFormat="1" applyFont="1" applyFill="1" applyBorder="1" applyAlignment="1">
      <alignment horizontal="right" vertical="center" wrapText="1"/>
    </xf>
    <xf numFmtId="165" fontId="32" fillId="0" borderId="1" xfId="5" applyNumberFormat="1" applyFont="1" applyFill="1" applyBorder="1" applyAlignment="1">
      <alignment horizontal="right" vertical="center"/>
    </xf>
    <xf numFmtId="165" fontId="32" fillId="0" borderId="1" xfId="5" applyNumberFormat="1" applyFont="1" applyFill="1" applyBorder="1" applyAlignment="1">
      <alignment horizontal="right" vertical="center" wrapText="1"/>
    </xf>
    <xf numFmtId="165" fontId="17" fillId="0" borderId="1" xfId="5" applyNumberFormat="1" applyFont="1" applyFill="1" applyBorder="1" applyAlignment="1">
      <alignment vertical="center"/>
    </xf>
    <xf numFmtId="165" fontId="17" fillId="0" borderId="1" xfId="5" applyNumberFormat="1" applyFont="1" applyFill="1" applyBorder="1" applyAlignment="1">
      <alignment horizontal="right" vertical="center"/>
    </xf>
    <xf numFmtId="165" fontId="17" fillId="0" borderId="1" xfId="6" applyNumberFormat="1" applyFont="1" applyFill="1" applyBorder="1" applyAlignment="1">
      <alignment horizontal="right" vertical="center"/>
    </xf>
    <xf numFmtId="165" fontId="23" fillId="0" borderId="1" xfId="5" applyNumberFormat="1" applyFont="1" applyFill="1" applyBorder="1"/>
    <xf numFmtId="165" fontId="17" fillId="0" borderId="1" xfId="6" applyNumberFormat="1" applyFont="1" applyFill="1" applyBorder="1" applyAlignment="1">
      <alignment vertical="center"/>
    </xf>
    <xf numFmtId="165" fontId="33" fillId="0" borderId="1" xfId="5" applyNumberFormat="1" applyFont="1" applyFill="1" applyBorder="1" applyAlignment="1">
      <alignment vertical="center"/>
    </xf>
    <xf numFmtId="165" fontId="23" fillId="0" borderId="1" xfId="5" applyNumberFormat="1" applyFont="1" applyFill="1" applyBorder="1" applyAlignment="1">
      <alignment horizontal="right" vertical="center" wrapText="1"/>
    </xf>
    <xf numFmtId="165" fontId="32" fillId="0" borderId="1" xfId="5" applyNumberFormat="1" applyFont="1" applyFill="1" applyBorder="1"/>
    <xf numFmtId="165" fontId="17" fillId="2" borderId="1" xfId="5" applyNumberFormat="1" applyFont="1" applyFill="1" applyBorder="1" applyAlignment="1">
      <alignment horizontal="right" vertical="center"/>
    </xf>
    <xf numFmtId="165" fontId="16" fillId="2" borderId="1" xfId="5" applyNumberFormat="1" applyFont="1" applyFill="1" applyBorder="1" applyAlignment="1">
      <alignment horizontal="right" vertical="center"/>
    </xf>
    <xf numFmtId="165" fontId="32" fillId="2" borderId="1" xfId="5" applyNumberFormat="1" applyFont="1" applyFill="1" applyBorder="1" applyAlignment="1">
      <alignment horizontal="right" vertical="center"/>
    </xf>
    <xf numFmtId="165" fontId="23" fillId="2" borderId="1" xfId="5" applyNumberFormat="1" applyFont="1" applyFill="1" applyBorder="1"/>
    <xf numFmtId="165" fontId="16" fillId="2" borderId="1" xfId="5" applyNumberFormat="1" applyFont="1" applyFill="1" applyBorder="1" applyAlignment="1">
      <alignment vertical="center"/>
    </xf>
    <xf numFmtId="165" fontId="24" fillId="2" borderId="1" xfId="5" applyNumberFormat="1" applyFont="1" applyFill="1" applyBorder="1" applyAlignment="1">
      <alignment vertical="center"/>
    </xf>
    <xf numFmtId="165" fontId="24" fillId="2" borderId="1" xfId="5" applyNumberFormat="1" applyFont="1" applyFill="1" applyBorder="1" applyAlignment="1">
      <alignment horizontal="right" vertical="center"/>
    </xf>
    <xf numFmtId="165" fontId="22" fillId="2" borderId="1" xfId="5" applyNumberFormat="1" applyFont="1" applyFill="1" applyBorder="1" applyAlignment="1">
      <alignment horizontal="right" vertical="center"/>
    </xf>
    <xf numFmtId="165" fontId="16" fillId="0" borderId="1" xfId="5" applyNumberFormat="1" applyFont="1" applyBorder="1" applyAlignment="1">
      <alignment vertical="center"/>
    </xf>
    <xf numFmtId="165" fontId="24" fillId="0" borderId="1" xfId="5" applyNumberFormat="1" applyFont="1" applyBorder="1" applyAlignment="1">
      <alignment vertical="center"/>
    </xf>
    <xf numFmtId="165" fontId="24" fillId="0" borderId="1" xfId="5" applyNumberFormat="1" applyFont="1" applyBorder="1" applyAlignment="1">
      <alignment horizontal="right" vertical="center"/>
    </xf>
    <xf numFmtId="165" fontId="22" fillId="0" borderId="1" xfId="5" applyNumberFormat="1" applyFont="1" applyBorder="1" applyAlignment="1">
      <alignment horizontal="right" vertical="center"/>
    </xf>
    <xf numFmtId="165" fontId="12" fillId="0" borderId="1" xfId="5" applyNumberFormat="1" applyFont="1" applyBorder="1"/>
    <xf numFmtId="0" fontId="17" fillId="0" borderId="1" xfId="5" applyFont="1" applyFill="1" applyBorder="1" applyAlignment="1">
      <alignment vertical="center" wrapText="1"/>
    </xf>
    <xf numFmtId="165" fontId="12" fillId="2" borderId="1" xfId="5" applyNumberFormat="1" applyFont="1" applyFill="1" applyBorder="1" applyAlignment="1">
      <alignment vertical="center"/>
    </xf>
    <xf numFmtId="165" fontId="12" fillId="2" borderId="1" xfId="5" applyNumberFormat="1" applyFont="1" applyFill="1" applyBorder="1"/>
    <xf numFmtId="165" fontId="2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165" fontId="11" fillId="0" borderId="4" xfId="0" applyNumberFormat="1" applyFont="1" applyBorder="1"/>
    <xf numFmtId="165" fontId="11" fillId="0" borderId="1" xfId="0" applyNumberFormat="1" applyFont="1" applyBorder="1"/>
    <xf numFmtId="165" fontId="11" fillId="0" borderId="9" xfId="0" applyNumberFormat="1" applyFont="1" applyBorder="1"/>
    <xf numFmtId="165" fontId="11" fillId="0" borderId="0" xfId="0" applyNumberFormat="1" applyFont="1"/>
    <xf numFmtId="165" fontId="10" fillId="0" borderId="6" xfId="0" applyNumberFormat="1" applyFont="1" applyBorder="1"/>
    <xf numFmtId="165" fontId="10" fillId="0" borderId="12" xfId="0" applyNumberFormat="1" applyFont="1" applyBorder="1"/>
    <xf numFmtId="165" fontId="11" fillId="0" borderId="1" xfId="0" applyNumberFormat="1" applyFont="1" applyBorder="1" applyAlignment="1">
      <alignment vertical="center"/>
    </xf>
    <xf numFmtId="165" fontId="11" fillId="0" borderId="9" xfId="0" applyNumberFormat="1" applyFont="1" applyBorder="1" applyAlignment="1">
      <alignment vertical="center"/>
    </xf>
    <xf numFmtId="0" fontId="34" fillId="0" borderId="1" xfId="5" applyFont="1" applyBorder="1" applyAlignment="1">
      <alignment horizontal="center"/>
    </xf>
    <xf numFmtId="0" fontId="35" fillId="0" borderId="1" xfId="5" applyFont="1" applyBorder="1" applyAlignment="1">
      <alignment horizontal="center" vertical="center" wrapText="1"/>
    </xf>
    <xf numFmtId="0" fontId="36" fillId="0" borderId="1" xfId="5" applyFont="1" applyBorder="1" applyAlignment="1">
      <alignment horizontal="center" vertical="center"/>
    </xf>
    <xf numFmtId="0" fontId="37" fillId="0" borderId="0" xfId="5" applyFont="1"/>
    <xf numFmtId="0" fontId="23" fillId="0" borderId="17" xfId="5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32" fillId="0" borderId="0" xfId="5" applyNumberFormat="1" applyFont="1" applyFill="1" applyBorder="1" applyAlignment="1">
      <alignment horizontal="right" vertical="center"/>
    </xf>
    <xf numFmtId="0" fontId="32" fillId="0" borderId="1" xfId="5" applyFont="1" applyFill="1" applyBorder="1" applyAlignment="1">
      <alignment horizontal="center"/>
    </xf>
    <xf numFmtId="0" fontId="38" fillId="0" borderId="1" xfId="5" applyFont="1" applyFill="1" applyBorder="1" applyAlignment="1">
      <alignment horizontal="center" vertical="center"/>
    </xf>
    <xf numFmtId="165" fontId="23" fillId="0" borderId="1" xfId="5" applyNumberFormat="1" applyFont="1" applyFill="1" applyBorder="1" applyAlignment="1">
      <alignment horizontal="right" vertical="center"/>
    </xf>
    <xf numFmtId="3" fontId="23" fillId="0" borderId="0" xfId="5" applyNumberFormat="1" applyFont="1" applyFill="1" applyBorder="1" applyAlignment="1">
      <alignment horizontal="right" vertical="center"/>
    </xf>
    <xf numFmtId="1" fontId="23" fillId="0" borderId="1" xfId="5" applyNumberFormat="1" applyFont="1" applyFill="1" applyBorder="1" applyAlignment="1">
      <alignment horizontal="right" vertical="center"/>
    </xf>
    <xf numFmtId="0" fontId="38" fillId="0" borderId="1" xfId="5" applyFont="1" applyFill="1" applyBorder="1" applyAlignment="1">
      <alignment horizontal="left" vertical="center"/>
    </xf>
    <xf numFmtId="0" fontId="31" fillId="0" borderId="1" xfId="5" applyFont="1" applyFill="1" applyBorder="1" applyAlignment="1">
      <alignment horizontal="left" vertical="center"/>
    </xf>
    <xf numFmtId="1" fontId="32" fillId="0" borderId="1" xfId="5" applyNumberFormat="1" applyFont="1" applyFill="1" applyBorder="1" applyAlignment="1">
      <alignment horizontal="right" vertical="center"/>
    </xf>
    <xf numFmtId="0" fontId="10" fillId="0" borderId="18" xfId="0" applyFont="1" applyBorder="1"/>
    <xf numFmtId="0" fontId="10" fillId="0" borderId="4" xfId="0" applyFont="1" applyBorder="1" applyAlignment="1">
      <alignment horizontal="center"/>
    </xf>
    <xf numFmtId="165" fontId="10" fillId="0" borderId="4" xfId="0" applyNumberFormat="1" applyFont="1" applyBorder="1"/>
    <xf numFmtId="0" fontId="15" fillId="0" borderId="0" xfId="0" applyFont="1"/>
    <xf numFmtId="0" fontId="15" fillId="2" borderId="1" xfId="5" applyFont="1" applyFill="1" applyBorder="1" applyAlignment="1">
      <alignment horizontal="center"/>
    </xf>
    <xf numFmtId="0" fontId="32" fillId="0" borderId="4" xfId="5" applyFont="1" applyFill="1" applyBorder="1" applyAlignment="1">
      <alignment horizontal="center" vertical="center" wrapText="1"/>
    </xf>
    <xf numFmtId="3" fontId="8" fillId="2" borderId="16" xfId="5" applyNumberFormat="1" applyFill="1" applyBorder="1"/>
    <xf numFmtId="3" fontId="8" fillId="0" borderId="16" xfId="5" applyNumberFormat="1" applyBorder="1"/>
    <xf numFmtId="0" fontId="23" fillId="2" borderId="16" xfId="5" applyFont="1" applyFill="1" applyBorder="1"/>
    <xf numFmtId="0" fontId="32" fillId="2" borderId="0" xfId="5" applyFont="1" applyFill="1"/>
    <xf numFmtId="165" fontId="32" fillId="2" borderId="1" xfId="5" applyNumberFormat="1" applyFont="1" applyFill="1" applyBorder="1"/>
    <xf numFmtId="0" fontId="11" fillId="0" borderId="0" xfId="0" applyFont="1" applyAlignment="1">
      <alignment horizontal="center" vertical="center"/>
    </xf>
    <xf numFmtId="165" fontId="23" fillId="0" borderId="0" xfId="5" applyNumberFormat="1" applyFont="1" applyFill="1"/>
    <xf numFmtId="3" fontId="10" fillId="0" borderId="18" xfId="0" applyNumberFormat="1" applyFont="1" applyBorder="1" applyAlignment="1">
      <alignment horizontal="center" vertical="center"/>
    </xf>
    <xf numFmtId="165" fontId="10" fillId="0" borderId="18" xfId="0" applyNumberFormat="1" applyFont="1" applyBorder="1"/>
    <xf numFmtId="165" fontId="11" fillId="0" borderId="15" xfId="0" applyNumberFormat="1" applyFont="1" applyBorder="1"/>
    <xf numFmtId="165" fontId="11" fillId="0" borderId="16" xfId="0" applyNumberFormat="1" applyFont="1" applyBorder="1"/>
    <xf numFmtId="165" fontId="11" fillId="0" borderId="21" xfId="0" applyNumberFormat="1" applyFont="1" applyBorder="1"/>
    <xf numFmtId="165" fontId="10" fillId="0" borderId="22" xfId="0" applyNumberFormat="1" applyFont="1" applyBorder="1"/>
    <xf numFmtId="165" fontId="10" fillId="0" borderId="23" xfId="0" applyNumberFormat="1" applyFont="1" applyBorder="1"/>
    <xf numFmtId="165" fontId="11" fillId="0" borderId="20" xfId="0" applyNumberFormat="1" applyFont="1" applyBorder="1"/>
    <xf numFmtId="165" fontId="10" fillId="0" borderId="18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0" fillId="0" borderId="14" xfId="0" applyNumberFormat="1" applyFont="1" applyBorder="1"/>
    <xf numFmtId="3" fontId="10" fillId="0" borderId="18" xfId="0" applyNumberFormat="1" applyFont="1" applyBorder="1" applyAlignment="1">
      <alignment horizontal="center"/>
    </xf>
    <xf numFmtId="0" fontId="23" fillId="2" borderId="16" xfId="5" applyFont="1" applyFill="1" applyBorder="1" applyAlignment="1">
      <alignment wrapText="1"/>
    </xf>
    <xf numFmtId="0" fontId="38" fillId="2" borderId="1" xfId="5" applyFont="1" applyFill="1" applyBorder="1" applyAlignment="1">
      <alignment horizontal="center" vertical="center"/>
    </xf>
    <xf numFmtId="0" fontId="19" fillId="0" borderId="0" xfId="5" applyFont="1"/>
    <xf numFmtId="165" fontId="19" fillId="2" borderId="1" xfId="5" applyNumberFormat="1" applyFont="1" applyFill="1" applyBorder="1"/>
    <xf numFmtId="0" fontId="25" fillId="0" borderId="1" xfId="5" applyFont="1" applyBorder="1" applyAlignment="1">
      <alignment horizontal="center" vertical="center" wrapText="1"/>
    </xf>
    <xf numFmtId="165" fontId="25" fillId="2" borderId="1" xfId="5" applyNumberFormat="1" applyFont="1" applyFill="1" applyBorder="1" applyAlignment="1">
      <alignment vertical="center"/>
    </xf>
    <xf numFmtId="165" fontId="25" fillId="2" borderId="1" xfId="5" applyNumberFormat="1" applyFont="1" applyFill="1" applyBorder="1" applyAlignment="1">
      <alignment horizontal="right" vertical="center"/>
    </xf>
    <xf numFmtId="165" fontId="15" fillId="2" borderId="1" xfId="5" applyNumberFormat="1" applyFont="1" applyFill="1" applyBorder="1" applyAlignment="1">
      <alignment vertical="center"/>
    </xf>
    <xf numFmtId="165" fontId="15" fillId="2" borderId="1" xfId="6" applyNumberFormat="1" applyFont="1" applyFill="1" applyBorder="1" applyAlignment="1">
      <alignment horizontal="right" vertical="center"/>
    </xf>
    <xf numFmtId="0" fontId="39" fillId="0" borderId="1" xfId="5" applyFont="1" applyFill="1" applyBorder="1" applyAlignment="1">
      <alignment horizontal="center"/>
    </xf>
    <xf numFmtId="0" fontId="33" fillId="0" borderId="1" xfId="5" applyFont="1" applyFill="1" applyBorder="1" applyAlignment="1">
      <alignment horizontal="center" vertical="center"/>
    </xf>
    <xf numFmtId="165" fontId="33" fillId="0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horizontal="right" vertical="center"/>
    </xf>
    <xf numFmtId="0" fontId="17" fillId="0" borderId="0" xfId="5" applyFont="1" applyFill="1"/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65" fontId="11" fillId="0" borderId="4" xfId="0" applyNumberFormat="1" applyFont="1" applyFill="1" applyBorder="1"/>
    <xf numFmtId="165" fontId="10" fillId="0" borderId="4" xfId="0" applyNumberFormat="1" applyFont="1" applyFill="1" applyBorder="1"/>
    <xf numFmtId="165" fontId="11" fillId="0" borderId="1" xfId="0" applyNumberFormat="1" applyFont="1" applyFill="1" applyBorder="1"/>
    <xf numFmtId="165" fontId="10" fillId="0" borderId="1" xfId="0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center" vertical="center"/>
    </xf>
    <xf numFmtId="0" fontId="32" fillId="2" borderId="1" xfId="5" applyFont="1" applyFill="1" applyBorder="1" applyAlignment="1">
      <alignment horizontal="center" vertical="center"/>
    </xf>
    <xf numFmtId="0" fontId="32" fillId="2" borderId="1" xfId="5" applyFont="1" applyFill="1" applyBorder="1" applyAlignment="1">
      <alignment horizontal="center" vertical="center"/>
    </xf>
    <xf numFmtId="0" fontId="12" fillId="0" borderId="1" xfId="5" applyFont="1" applyBorder="1" applyAlignment="1">
      <alignment horizontal="center"/>
    </xf>
    <xf numFmtId="0" fontId="40" fillId="0" borderId="1" xfId="5" applyFont="1" applyBorder="1" applyAlignment="1">
      <alignment horizontal="center" vertical="center"/>
    </xf>
    <xf numFmtId="0" fontId="6" fillId="0" borderId="0" xfId="5" applyFont="1"/>
    <xf numFmtId="0" fontId="12" fillId="0" borderId="1" xfId="5" applyFont="1" applyBorder="1" applyAlignment="1">
      <alignment horizontal="center" wrapText="1"/>
    </xf>
    <xf numFmtId="0" fontId="25" fillId="2" borderId="1" xfId="5" applyFont="1" applyFill="1" applyBorder="1" applyAlignment="1">
      <alignment horizontal="center" vertical="center" wrapText="1"/>
    </xf>
    <xf numFmtId="0" fontId="23" fillId="0" borderId="4" xfId="5" applyFont="1" applyFill="1" applyBorder="1" applyAlignment="1">
      <alignment horizontal="center" vertical="center" wrapText="1"/>
    </xf>
    <xf numFmtId="0" fontId="31" fillId="2" borderId="4" xfId="5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65" fontId="11" fillId="0" borderId="26" xfId="0" applyNumberFormat="1" applyFont="1" applyBorder="1"/>
    <xf numFmtId="0" fontId="11" fillId="0" borderId="16" xfId="0" applyFont="1" applyBorder="1"/>
    <xf numFmtId="165" fontId="10" fillId="0" borderId="27" xfId="0" applyNumberFormat="1" applyFont="1" applyBorder="1"/>
    <xf numFmtId="165" fontId="11" fillId="0" borderId="28" xfId="0" applyNumberFormat="1" applyFont="1" applyBorder="1"/>
    <xf numFmtId="0" fontId="11" fillId="0" borderId="21" xfId="0" applyFont="1" applyBorder="1"/>
    <xf numFmtId="0" fontId="10" fillId="0" borderId="14" xfId="0" applyFont="1" applyBorder="1"/>
    <xf numFmtId="0" fontId="10" fillId="0" borderId="29" xfId="0" applyFont="1" applyBorder="1"/>
    <xf numFmtId="0" fontId="10" fillId="0" borderId="14" xfId="0" applyFont="1" applyBorder="1" applyAlignment="1">
      <alignment horizontal="center" vertical="center" wrapText="1"/>
    </xf>
    <xf numFmtId="165" fontId="11" fillId="0" borderId="24" xfId="0" applyNumberFormat="1" applyFont="1" applyBorder="1"/>
    <xf numFmtId="165" fontId="11" fillId="0" borderId="14" xfId="0" applyNumberFormat="1" applyFont="1" applyBorder="1"/>
    <xf numFmtId="0" fontId="15" fillId="0" borderId="1" xfId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/>
    <xf numFmtId="165" fontId="11" fillId="0" borderId="16" xfId="0" applyNumberFormat="1" applyFont="1" applyFill="1" applyBorder="1"/>
    <xf numFmtId="165" fontId="11" fillId="0" borderId="15" xfId="0" applyNumberFormat="1" applyFont="1" applyFill="1" applyBorder="1"/>
    <xf numFmtId="165" fontId="11" fillId="0" borderId="26" xfId="0" applyNumberFormat="1" applyFont="1" applyFill="1" applyBorder="1"/>
    <xf numFmtId="165" fontId="11" fillId="0" borderId="14" xfId="0" applyNumberFormat="1" applyFont="1" applyFill="1" applyBorder="1"/>
    <xf numFmtId="165" fontId="11" fillId="0" borderId="21" xfId="0" applyNumberFormat="1" applyFont="1" applyFill="1" applyBorder="1"/>
    <xf numFmtId="0" fontId="10" fillId="0" borderId="14" xfId="0" applyFont="1" applyBorder="1" applyAlignment="1">
      <alignment horizontal="center"/>
    </xf>
    <xf numFmtId="10" fontId="15" fillId="0" borderId="1" xfId="5" applyNumberFormat="1" applyFont="1" applyBorder="1"/>
    <xf numFmtId="0" fontId="28" fillId="2" borderId="0" xfId="5" applyFont="1" applyFill="1" applyAlignment="1">
      <alignment horizontal="center"/>
    </xf>
    <xf numFmtId="0" fontId="28" fillId="2" borderId="1" xfId="5" applyFont="1" applyFill="1" applyBorder="1" applyAlignment="1">
      <alignment horizontal="center" wrapText="1"/>
    </xf>
    <xf numFmtId="165" fontId="23" fillId="2" borderId="1" xfId="5" applyNumberFormat="1" applyFont="1" applyFill="1" applyBorder="1" applyAlignment="1">
      <alignment vertical="center"/>
    </xf>
    <xf numFmtId="165" fontId="17" fillId="2" borderId="1" xfId="5" applyNumberFormat="1" applyFont="1" applyFill="1" applyBorder="1" applyAlignment="1">
      <alignment vertical="center"/>
    </xf>
    <xf numFmtId="164" fontId="32" fillId="2" borderId="1" xfId="5" applyNumberFormat="1" applyFont="1" applyFill="1" applyBorder="1"/>
    <xf numFmtId="10" fontId="23" fillId="2" borderId="1" xfId="5" applyNumberFormat="1" applyFont="1" applyFill="1" applyBorder="1"/>
    <xf numFmtId="10" fontId="32" fillId="2" borderId="1" xfId="5" applyNumberFormat="1" applyFont="1" applyFill="1" applyBorder="1"/>
    <xf numFmtId="10" fontId="8" fillId="2" borderId="1" xfId="5" applyNumberFormat="1" applyFill="1" applyBorder="1"/>
    <xf numFmtId="0" fontId="23" fillId="0" borderId="17" xfId="5" applyFont="1" applyFill="1" applyBorder="1" applyAlignment="1">
      <alignment horizontal="center"/>
    </xf>
    <xf numFmtId="0" fontId="23" fillId="2" borderId="4" xfId="5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vertical="center" wrapText="1"/>
    </xf>
    <xf numFmtId="10" fontId="41" fillId="2" borderId="1" xfId="5" applyNumberFormat="1" applyFont="1" applyFill="1" applyBorder="1"/>
    <xf numFmtId="10" fontId="19" fillId="2" borderId="1" xfId="5" applyNumberFormat="1" applyFont="1" applyFill="1" applyBorder="1"/>
    <xf numFmtId="0" fontId="32" fillId="2" borderId="1" xfId="5" applyFont="1" applyFill="1" applyBorder="1" applyAlignment="1">
      <alignment horizontal="center" vertical="center" wrapText="1"/>
    </xf>
    <xf numFmtId="1" fontId="23" fillId="0" borderId="0" xfId="1" applyNumberFormat="1" applyFont="1" applyFill="1"/>
    <xf numFmtId="0" fontId="23" fillId="0" borderId="0" xfId="1" applyFont="1" applyFill="1"/>
    <xf numFmtId="165" fontId="23" fillId="0" borderId="0" xfId="1" applyNumberFormat="1" applyFont="1" applyFill="1"/>
    <xf numFmtId="0" fontId="28" fillId="0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/>
    </xf>
    <xf numFmtId="165" fontId="32" fillId="0" borderId="1" xfId="1" applyNumberFormat="1" applyFont="1" applyFill="1" applyBorder="1" applyAlignment="1">
      <alignment horizontal="center" vertical="center" wrapText="1"/>
    </xf>
    <xf numFmtId="165" fontId="32" fillId="0" borderId="4" xfId="1" applyNumberFormat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/>
    <xf numFmtId="0" fontId="32" fillId="0" borderId="0" xfId="1" applyFont="1" applyFill="1"/>
    <xf numFmtId="0" fontId="17" fillId="0" borderId="1" xfId="1" applyFont="1" applyFill="1" applyBorder="1" applyAlignment="1">
      <alignment vertical="center"/>
    </xf>
    <xf numFmtId="165" fontId="17" fillId="0" borderId="1" xfId="2" applyNumberFormat="1" applyFont="1" applyFill="1" applyBorder="1" applyAlignment="1">
      <alignment vertical="center"/>
    </xf>
    <xf numFmtId="165" fontId="32" fillId="0" borderId="1" xfId="1" applyNumberFormat="1" applyFont="1" applyFill="1" applyBorder="1" applyAlignment="1">
      <alignment horizontal="right" vertical="center"/>
    </xf>
    <xf numFmtId="0" fontId="23" fillId="0" borderId="1" xfId="1" applyFont="1" applyFill="1" applyBorder="1"/>
    <xf numFmtId="0" fontId="23" fillId="0" borderId="0" xfId="1" applyFont="1" applyFill="1" applyBorder="1"/>
    <xf numFmtId="165" fontId="17" fillId="3" borderId="1" xfId="2" applyNumberFormat="1" applyFont="1" applyFill="1" applyBorder="1" applyAlignment="1">
      <alignment horizontal="right" vertical="center"/>
    </xf>
    <xf numFmtId="165" fontId="17" fillId="4" borderId="1" xfId="2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vertical="center" wrapText="1"/>
    </xf>
    <xf numFmtId="165" fontId="17" fillId="6" borderId="1" xfId="2" applyNumberFormat="1" applyFont="1" applyFill="1" applyBorder="1" applyAlignment="1">
      <alignment horizontal="right" vertical="center"/>
    </xf>
    <xf numFmtId="0" fontId="23" fillId="0" borderId="1" xfId="1" applyFont="1" applyFill="1" applyBorder="1" applyAlignment="1">
      <alignment horizontal="center"/>
    </xf>
    <xf numFmtId="165" fontId="23" fillId="0" borderId="1" xfId="1" applyNumberFormat="1" applyFont="1" applyFill="1" applyBorder="1"/>
    <xf numFmtId="0" fontId="32" fillId="0" borderId="1" xfId="1" applyFont="1" applyFill="1" applyBorder="1" applyAlignment="1">
      <alignment vertical="center"/>
    </xf>
    <xf numFmtId="165" fontId="33" fillId="0" borderId="1" xfId="1" applyNumberFormat="1" applyFont="1" applyFill="1" applyBorder="1" applyAlignment="1">
      <alignment vertical="center"/>
    </xf>
    <xf numFmtId="3" fontId="32" fillId="0" borderId="1" xfId="1" applyNumberFormat="1" applyFont="1" applyFill="1" applyBorder="1" applyAlignment="1">
      <alignment horizontal="right" vertical="center" wrapText="1"/>
    </xf>
    <xf numFmtId="0" fontId="23" fillId="0" borderId="1" xfId="1" applyFont="1" applyFill="1" applyBorder="1" applyAlignment="1">
      <alignment vertical="center"/>
    </xf>
    <xf numFmtId="165" fontId="17" fillId="0" borderId="1" xfId="1" applyNumberFormat="1" applyFont="1" applyFill="1" applyBorder="1" applyAlignment="1">
      <alignment vertical="center"/>
    </xf>
    <xf numFmtId="165" fontId="23" fillId="0" borderId="1" xfId="1" applyNumberFormat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vertical="center"/>
    </xf>
    <xf numFmtId="3" fontId="17" fillId="0" borderId="1" xfId="1" applyNumberFormat="1" applyFont="1" applyFill="1" applyBorder="1" applyAlignment="1">
      <alignment vertical="center"/>
    </xf>
    <xf numFmtId="165" fontId="33" fillId="0" borderId="9" xfId="1" applyNumberFormat="1" applyFont="1" applyFill="1" applyBorder="1" applyAlignment="1">
      <alignment vertical="center"/>
    </xf>
    <xf numFmtId="3" fontId="33" fillId="0" borderId="0" xfId="1" applyNumberFormat="1" applyFont="1" applyFill="1" applyBorder="1" applyAlignment="1">
      <alignment vertical="center"/>
    </xf>
    <xf numFmtId="3" fontId="33" fillId="0" borderId="1" xfId="1" applyNumberFormat="1" applyFont="1" applyFill="1" applyBorder="1" applyAlignment="1">
      <alignment vertical="center"/>
    </xf>
    <xf numFmtId="0" fontId="32" fillId="0" borderId="1" xfId="1" applyFont="1" applyFill="1" applyBorder="1"/>
    <xf numFmtId="165" fontId="32" fillId="0" borderId="1" xfId="1" applyNumberFormat="1" applyFont="1" applyFill="1" applyBorder="1"/>
    <xf numFmtId="0" fontId="32" fillId="2" borderId="1" xfId="5" applyFont="1" applyFill="1" applyBorder="1"/>
    <xf numFmtId="10" fontId="32" fillId="0" borderId="1" xfId="1" applyNumberFormat="1" applyFont="1" applyFill="1" applyBorder="1" applyAlignment="1">
      <alignment horizontal="center" vertical="center" wrapText="1"/>
    </xf>
    <xf numFmtId="10" fontId="23" fillId="0" borderId="1" xfId="1" applyNumberFormat="1" applyFont="1" applyFill="1" applyBorder="1"/>
    <xf numFmtId="10" fontId="32" fillId="0" borderId="0" xfId="1" applyNumberFormat="1" applyFont="1" applyFill="1"/>
    <xf numFmtId="10" fontId="32" fillId="0" borderId="1" xfId="1" applyNumberFormat="1" applyFont="1" applyFill="1" applyBorder="1"/>
    <xf numFmtId="10" fontId="12" fillId="0" borderId="1" xfId="5" applyNumberFormat="1" applyFont="1" applyBorder="1"/>
    <xf numFmtId="10" fontId="23" fillId="0" borderId="1" xfId="5" applyNumberFormat="1" applyFont="1" applyFill="1" applyBorder="1" applyAlignment="1">
      <alignment horizontal="center" vertical="center" wrapText="1"/>
    </xf>
    <xf numFmtId="10" fontId="32" fillId="0" borderId="1" xfId="5" applyNumberFormat="1" applyFont="1" applyFill="1" applyBorder="1" applyAlignment="1">
      <alignment horizontal="right" vertical="center"/>
    </xf>
    <xf numFmtId="10" fontId="23" fillId="0" borderId="0" xfId="5" applyNumberFormat="1" applyFont="1" applyFill="1"/>
    <xf numFmtId="165" fontId="32" fillId="0" borderId="1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5" fontId="23" fillId="7" borderId="0" xfId="5" applyNumberFormat="1" applyFont="1" applyFill="1"/>
    <xf numFmtId="10" fontId="11" fillId="0" borderId="0" xfId="0" applyNumberFormat="1" applyFont="1" applyBorder="1"/>
    <xf numFmtId="10" fontId="11" fillId="0" borderId="1" xfId="0" applyNumberFormat="1" applyFont="1" applyBorder="1"/>
    <xf numFmtId="10" fontId="11" fillId="0" borderId="0" xfId="0" applyNumberFormat="1" applyFont="1" applyBorder="1" applyAlignment="1">
      <alignment horizontal="center" vertical="center"/>
    </xf>
    <xf numFmtId="165" fontId="32" fillId="0" borderId="15" xfId="5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/>
    <xf numFmtId="1" fontId="10" fillId="0" borderId="9" xfId="0" applyNumberFormat="1" applyFont="1" applyBorder="1" applyAlignment="1">
      <alignment horizontal="center" vertical="center"/>
    </xf>
    <xf numFmtId="10" fontId="10" fillId="0" borderId="4" xfId="0" applyNumberFormat="1" applyFont="1" applyBorder="1"/>
    <xf numFmtId="10" fontId="15" fillId="0" borderId="12" xfId="1" applyNumberFormat="1" applyFont="1" applyFill="1" applyBorder="1" applyAlignment="1">
      <alignment horizontal="center" vertical="center" wrapText="1"/>
    </xf>
    <xf numFmtId="10" fontId="11" fillId="0" borderId="4" xfId="0" applyNumberFormat="1" applyFont="1" applyBorder="1"/>
    <xf numFmtId="10" fontId="10" fillId="0" borderId="12" xfId="0" applyNumberFormat="1" applyFont="1" applyBorder="1"/>
    <xf numFmtId="10" fontId="10" fillId="0" borderId="9" xfId="0" applyNumberFormat="1" applyFont="1" applyBorder="1"/>
    <xf numFmtId="10" fontId="11" fillId="0" borderId="9" xfId="0" applyNumberFormat="1" applyFont="1" applyBorder="1"/>
    <xf numFmtId="10" fontId="10" fillId="0" borderId="13" xfId="0" applyNumberFormat="1" applyFont="1" applyBorder="1"/>
    <xf numFmtId="165" fontId="32" fillId="0" borderId="12" xfId="5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 vertical="center"/>
    </xf>
    <xf numFmtId="10" fontId="11" fillId="0" borderId="13" xfId="0" applyNumberFormat="1" applyFont="1" applyBorder="1"/>
    <xf numFmtId="10" fontId="11" fillId="0" borderId="12" xfId="0" applyNumberFormat="1" applyFont="1" applyBorder="1"/>
    <xf numFmtId="165" fontId="11" fillId="0" borderId="0" xfId="0" applyNumberFormat="1" applyFont="1" applyAlignment="1">
      <alignment horizontal="center" vertical="center"/>
    </xf>
    <xf numFmtId="10" fontId="10" fillId="0" borderId="0" xfId="0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/>
    <xf numFmtId="10" fontId="15" fillId="0" borderId="0" xfId="0" applyNumberFormat="1" applyFont="1"/>
    <xf numFmtId="165" fontId="15" fillId="0" borderId="0" xfId="0" applyNumberFormat="1" applyFont="1" applyAlignment="1">
      <alignment horizontal="right"/>
    </xf>
    <xf numFmtId="3" fontId="15" fillId="0" borderId="18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5" fontId="15" fillId="0" borderId="18" xfId="0" applyNumberFormat="1" applyFont="1" applyBorder="1"/>
    <xf numFmtId="165" fontId="15" fillId="0" borderId="18" xfId="0" applyNumberFormat="1" applyFont="1" applyBorder="1" applyAlignment="1"/>
    <xf numFmtId="165" fontId="12" fillId="0" borderId="15" xfId="0" applyNumberFormat="1" applyFont="1" applyBorder="1"/>
    <xf numFmtId="165" fontId="12" fillId="0" borderId="1" xfId="0" applyNumberFormat="1" applyFont="1" applyBorder="1" applyAlignment="1"/>
    <xf numFmtId="165" fontId="12" fillId="0" borderId="16" xfId="0" applyNumberFormat="1" applyFont="1" applyBorder="1"/>
    <xf numFmtId="10" fontId="12" fillId="0" borderId="1" xfId="0" applyNumberFormat="1" applyFont="1" applyBorder="1"/>
    <xf numFmtId="165" fontId="12" fillId="0" borderId="21" xfId="0" applyNumberFormat="1" applyFont="1" applyBorder="1"/>
    <xf numFmtId="165" fontId="15" fillId="0" borderId="22" xfId="0" applyNumberFormat="1" applyFont="1" applyBorder="1"/>
    <xf numFmtId="165" fontId="15" fillId="0" borderId="22" xfId="0" applyNumberFormat="1" applyFont="1" applyBorder="1" applyAlignment="1"/>
    <xf numFmtId="0" fontId="12" fillId="0" borderId="0" xfId="0" applyFont="1"/>
    <xf numFmtId="165" fontId="12" fillId="0" borderId="0" xfId="0" applyNumberFormat="1" applyFont="1" applyAlignment="1"/>
    <xf numFmtId="10" fontId="12" fillId="0" borderId="0" xfId="0" applyNumberFormat="1" applyFont="1"/>
    <xf numFmtId="165" fontId="15" fillId="0" borderId="0" xfId="0" applyNumberFormat="1" applyFont="1"/>
    <xf numFmtId="165" fontId="15" fillId="0" borderId="23" xfId="0" applyNumberFormat="1" applyFont="1" applyBorder="1"/>
    <xf numFmtId="165" fontId="12" fillId="0" borderId="20" xfId="0" applyNumberFormat="1" applyFont="1" applyBorder="1"/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65" fontId="15" fillId="0" borderId="14" xfId="0" applyNumberFormat="1" applyFont="1" applyBorder="1"/>
    <xf numFmtId="165" fontId="12" fillId="0" borderId="0" xfId="0" applyNumberFormat="1" applyFont="1"/>
    <xf numFmtId="1" fontId="15" fillId="0" borderId="12" xfId="0" applyNumberFormat="1" applyFont="1" applyBorder="1" applyAlignment="1">
      <alignment horizontal="center" vertical="center"/>
    </xf>
    <xf numFmtId="10" fontId="12" fillId="0" borderId="4" xfId="0" applyNumberFormat="1" applyFont="1" applyBorder="1"/>
    <xf numFmtId="10" fontId="15" fillId="0" borderId="12" xfId="0" applyNumberFormat="1" applyFont="1" applyBorder="1"/>
    <xf numFmtId="10" fontId="12" fillId="0" borderId="9" xfId="0" applyNumberFormat="1" applyFont="1" applyBorder="1"/>
    <xf numFmtId="165" fontId="12" fillId="0" borderId="9" xfId="0" applyNumberFormat="1" applyFont="1" applyBorder="1" applyAlignment="1"/>
    <xf numFmtId="165" fontId="15" fillId="0" borderId="4" xfId="0" applyNumberFormat="1" applyFont="1" applyBorder="1" applyAlignment="1"/>
    <xf numFmtId="165" fontId="15" fillId="0" borderId="12" xfId="0" applyNumberFormat="1" applyFont="1" applyBorder="1" applyAlignment="1"/>
    <xf numFmtId="10" fontId="15" fillId="0" borderId="13" xfId="0" applyNumberFormat="1" applyFont="1" applyBorder="1"/>
    <xf numFmtId="10" fontId="12" fillId="0" borderId="12" xfId="0" applyNumberFormat="1" applyFont="1" applyBorder="1"/>
    <xf numFmtId="165" fontId="12" fillId="0" borderId="12" xfId="0" applyNumberFormat="1" applyFont="1" applyBorder="1" applyAlignment="1"/>
    <xf numFmtId="10" fontId="12" fillId="0" borderId="13" xfId="0" applyNumberFormat="1" applyFont="1" applyBorder="1"/>
    <xf numFmtId="10" fontId="12" fillId="0" borderId="0" xfId="0" applyNumberFormat="1" applyFont="1" applyBorder="1"/>
    <xf numFmtId="165" fontId="15" fillId="0" borderId="12" xfId="0" applyNumberFormat="1" applyFont="1" applyBorder="1"/>
    <xf numFmtId="165" fontId="10" fillId="0" borderId="20" xfId="0" applyNumberFormat="1" applyFont="1" applyFill="1" applyBorder="1"/>
    <xf numFmtId="165" fontId="10" fillId="0" borderId="15" xfId="0" applyNumberFormat="1" applyFont="1" applyFill="1" applyBorder="1"/>
    <xf numFmtId="0" fontId="10" fillId="0" borderId="27" xfId="0" applyFont="1" applyFill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/>
    </xf>
    <xf numFmtId="165" fontId="10" fillId="0" borderId="13" xfId="0" applyNumberFormat="1" applyFont="1" applyBorder="1"/>
    <xf numFmtId="165" fontId="10" fillId="0" borderId="12" xfId="0" applyNumberFormat="1" applyFont="1" applyFill="1" applyBorder="1"/>
    <xf numFmtId="10" fontId="15" fillId="0" borderId="31" xfId="1" applyNumberFormat="1" applyFont="1" applyFill="1" applyBorder="1" applyAlignment="1">
      <alignment horizontal="center" vertical="center" wrapText="1"/>
    </xf>
    <xf numFmtId="10" fontId="11" fillId="0" borderId="32" xfId="0" applyNumberFormat="1" applyFont="1" applyBorder="1"/>
    <xf numFmtId="49" fontId="15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5" fillId="0" borderId="0" xfId="0" applyFont="1" applyFill="1"/>
    <xf numFmtId="49" fontId="15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165" fontId="15" fillId="0" borderId="14" xfId="0" applyNumberFormat="1" applyFont="1" applyFill="1" applyBorder="1"/>
    <xf numFmtId="49" fontId="12" fillId="0" borderId="3" xfId="0" applyNumberFormat="1" applyFont="1" applyBorder="1" applyAlignment="1">
      <alignment horizontal="center"/>
    </xf>
    <xf numFmtId="0" fontId="12" fillId="0" borderId="4" xfId="0" applyFont="1" applyBorder="1"/>
    <xf numFmtId="165" fontId="12" fillId="0" borderId="16" xfId="0" applyNumberFormat="1" applyFont="1" applyFill="1" applyBorder="1"/>
    <xf numFmtId="165" fontId="12" fillId="0" borderId="1" xfId="0" applyNumberFormat="1" applyFont="1" applyBorder="1"/>
    <xf numFmtId="49" fontId="12" fillId="0" borderId="2" xfId="0" applyNumberFormat="1" applyFont="1" applyBorder="1" applyAlignment="1">
      <alignment horizontal="center"/>
    </xf>
    <xf numFmtId="0" fontId="12" fillId="0" borderId="1" xfId="0" applyFont="1" applyBorder="1"/>
    <xf numFmtId="165" fontId="12" fillId="0" borderId="15" xfId="0" applyNumberFormat="1" applyFont="1" applyFill="1" applyBorder="1"/>
    <xf numFmtId="0" fontId="12" fillId="0" borderId="16" xfId="0" applyFont="1" applyFill="1" applyBorder="1"/>
    <xf numFmtId="49" fontId="12" fillId="0" borderId="8" xfId="0" applyNumberFormat="1" applyFont="1" applyBorder="1" applyAlignment="1">
      <alignment horizontal="center"/>
    </xf>
    <xf numFmtId="0" fontId="12" fillId="0" borderId="9" xfId="0" applyFont="1" applyBorder="1"/>
    <xf numFmtId="165" fontId="12" fillId="0" borderId="9" xfId="0" applyNumberFormat="1" applyFont="1" applyBorder="1"/>
    <xf numFmtId="0" fontId="15" fillId="0" borderId="18" xfId="0" applyFont="1" applyBorder="1"/>
    <xf numFmtId="49" fontId="15" fillId="0" borderId="10" xfId="0" applyNumberFormat="1" applyFont="1" applyBorder="1" applyAlignment="1">
      <alignment horizontal="center"/>
    </xf>
    <xf numFmtId="0" fontId="15" fillId="0" borderId="11" xfId="0" applyFont="1" applyBorder="1"/>
    <xf numFmtId="165" fontId="15" fillId="0" borderId="13" xfId="0" applyNumberFormat="1" applyFont="1" applyBorder="1"/>
    <xf numFmtId="165" fontId="12" fillId="0" borderId="26" xfId="0" applyNumberFormat="1" applyFont="1" applyFill="1" applyBorder="1"/>
    <xf numFmtId="165" fontId="15" fillId="0" borderId="18" xfId="0" applyNumberFormat="1" applyFont="1" applyFill="1" applyBorder="1"/>
    <xf numFmtId="165" fontId="12" fillId="0" borderId="4" xfId="0" applyNumberFormat="1" applyFont="1" applyBorder="1"/>
    <xf numFmtId="0" fontId="12" fillId="0" borderId="21" xfId="0" applyFont="1" applyFill="1" applyBorder="1"/>
    <xf numFmtId="165" fontId="15" fillId="0" borderId="12" xfId="0" applyNumberFormat="1" applyFont="1" applyFill="1" applyBorder="1"/>
    <xf numFmtId="0" fontId="15" fillId="0" borderId="6" xfId="0" applyFont="1" applyBorder="1" applyAlignment="1">
      <alignment vertical="center" wrapText="1"/>
    </xf>
    <xf numFmtId="165" fontId="15" fillId="0" borderId="18" xfId="0" applyNumberFormat="1" applyFont="1" applyBorder="1" applyAlignment="1">
      <alignment vertical="center" wrapText="1"/>
    </xf>
    <xf numFmtId="165" fontId="15" fillId="0" borderId="14" xfId="0" applyNumberFormat="1" applyFont="1" applyFill="1" applyBorder="1" applyAlignment="1">
      <alignment vertical="center" wrapText="1"/>
    </xf>
    <xf numFmtId="165" fontId="15" fillId="0" borderId="12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2" fillId="0" borderId="0" xfId="0" applyFont="1" applyFill="1"/>
    <xf numFmtId="49" fontId="15" fillId="0" borderId="5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49" fontId="12" fillId="0" borderId="9" xfId="0" applyNumberFormat="1" applyFont="1" applyBorder="1" applyAlignment="1">
      <alignment horizontal="center"/>
    </xf>
    <xf numFmtId="165" fontId="12" fillId="0" borderId="21" xfId="0" applyNumberFormat="1" applyFont="1" applyFill="1" applyBorder="1"/>
    <xf numFmtId="49" fontId="15" fillId="0" borderId="14" xfId="0" applyNumberFormat="1" applyFont="1" applyBorder="1" applyAlignment="1">
      <alignment horizontal="center"/>
    </xf>
    <xf numFmtId="0" fontId="15" fillId="0" borderId="12" xfId="0" applyFont="1" applyBorder="1"/>
    <xf numFmtId="165" fontId="12" fillId="0" borderId="14" xfId="0" applyNumberFormat="1" applyFont="1" applyFill="1" applyBorder="1"/>
    <xf numFmtId="49" fontId="12" fillId="0" borderId="13" xfId="0" applyNumberFormat="1" applyFont="1" applyBorder="1" applyAlignment="1">
      <alignment horizontal="center"/>
    </xf>
    <xf numFmtId="0" fontId="12" fillId="0" borderId="13" xfId="0" applyFont="1" applyBorder="1"/>
    <xf numFmtId="165" fontId="12" fillId="0" borderId="24" xfId="0" applyNumberFormat="1" applyFont="1" applyFill="1" applyBorder="1"/>
    <xf numFmtId="0" fontId="12" fillId="0" borderId="0" xfId="0" applyFont="1" applyFill="1" applyAlignment="1">
      <alignment horizontal="center" vertical="center"/>
    </xf>
    <xf numFmtId="0" fontId="15" fillId="0" borderId="6" xfId="0" applyFont="1" applyBorder="1" applyAlignment="1">
      <alignment wrapText="1"/>
    </xf>
    <xf numFmtId="49" fontId="12" fillId="0" borderId="0" xfId="0" applyNumberFormat="1" applyFont="1" applyAlignment="1">
      <alignment horizontal="center"/>
    </xf>
    <xf numFmtId="165" fontId="12" fillId="0" borderId="12" xfId="0" applyNumberFormat="1" applyFont="1" applyBorder="1"/>
    <xf numFmtId="10" fontId="15" fillId="0" borderId="12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15" fillId="0" borderId="6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165" fontId="15" fillId="0" borderId="4" xfId="0" applyNumberFormat="1" applyFont="1" applyBorder="1"/>
    <xf numFmtId="165" fontId="12" fillId="0" borderId="14" xfId="0" applyNumberFormat="1" applyFont="1" applyBorder="1"/>
    <xf numFmtId="0" fontId="15" fillId="0" borderId="15" xfId="0" applyFont="1" applyBorder="1" applyAlignment="1">
      <alignment horizontal="center"/>
    </xf>
    <xf numFmtId="0" fontId="15" fillId="0" borderId="5" xfId="0" applyFont="1" applyBorder="1"/>
    <xf numFmtId="10" fontId="15" fillId="0" borderId="6" xfId="0" applyNumberFormat="1" applyFont="1" applyBorder="1"/>
    <xf numFmtId="3" fontId="12" fillId="0" borderId="0" xfId="0" applyNumberFormat="1" applyFont="1"/>
    <xf numFmtId="0" fontId="15" fillId="0" borderId="33" xfId="0" applyFont="1" applyBorder="1"/>
    <xf numFmtId="165" fontId="15" fillId="0" borderId="15" xfId="0" applyNumberFormat="1" applyFont="1" applyBorder="1"/>
    <xf numFmtId="0" fontId="12" fillId="0" borderId="30" xfId="0" applyFont="1" applyBorder="1"/>
    <xf numFmtId="0" fontId="11" fillId="0" borderId="0" xfId="0" applyFont="1" applyAlignment="1">
      <alignment wrapText="1"/>
    </xf>
    <xf numFmtId="4" fontId="23" fillId="0" borderId="1" xfId="5" applyNumberFormat="1" applyFont="1" applyFill="1" applyBorder="1" applyAlignment="1">
      <alignment horizontal="right" vertical="center"/>
    </xf>
    <xf numFmtId="4" fontId="32" fillId="0" borderId="1" xfId="5" applyNumberFormat="1" applyFont="1" applyFill="1" applyBorder="1" applyAlignment="1">
      <alignment horizontal="right" vertical="center"/>
    </xf>
    <xf numFmtId="0" fontId="15" fillId="0" borderId="12" xfId="1" applyFont="1" applyFill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5" fontId="38" fillId="0" borderId="1" xfId="6" applyNumberFormat="1" applyFont="1" applyFill="1" applyBorder="1" applyAlignment="1">
      <alignment vertical="center"/>
    </xf>
    <xf numFmtId="0" fontId="11" fillId="0" borderId="1" xfId="0" applyFont="1" applyFill="1" applyBorder="1"/>
    <xf numFmtId="0" fontId="11" fillId="0" borderId="9" xfId="0" applyFont="1" applyBorder="1" applyAlignment="1">
      <alignment wrapText="1"/>
    </xf>
    <xf numFmtId="165" fontId="17" fillId="5" borderId="1" xfId="2" applyNumberFormat="1" applyFont="1" applyFill="1" applyBorder="1" applyAlignment="1">
      <alignment vertical="center"/>
    </xf>
    <xf numFmtId="165" fontId="17" fillId="6" borderId="1" xfId="2" applyNumberFormat="1" applyFont="1" applyFill="1" applyBorder="1" applyAlignment="1">
      <alignment vertical="center"/>
    </xf>
    <xf numFmtId="0" fontId="28" fillId="8" borderId="1" xfId="1" applyFont="1" applyFill="1" applyBorder="1" applyAlignment="1">
      <alignment horizontal="center"/>
    </xf>
    <xf numFmtId="165" fontId="33" fillId="9" borderId="1" xfId="5" applyNumberFormat="1" applyFont="1" applyFill="1" applyBorder="1" applyAlignment="1">
      <alignment vertical="center"/>
    </xf>
    <xf numFmtId="165" fontId="17" fillId="9" borderId="1" xfId="5" applyNumberFormat="1" applyFont="1" applyFill="1" applyBorder="1" applyAlignment="1">
      <alignment horizontal="right" vertical="center"/>
    </xf>
    <xf numFmtId="165" fontId="17" fillId="9" borderId="1" xfId="6" applyNumberFormat="1" applyFont="1" applyFill="1" applyBorder="1" applyAlignment="1">
      <alignment vertical="center"/>
    </xf>
    <xf numFmtId="165" fontId="22" fillId="9" borderId="1" xfId="5" applyNumberFormat="1" applyFont="1" applyFill="1" applyBorder="1" applyAlignment="1">
      <alignment horizontal="right" vertical="center"/>
    </xf>
    <xf numFmtId="165" fontId="32" fillId="9" borderId="1" xfId="5" applyNumberFormat="1" applyFont="1" applyFill="1" applyBorder="1" applyAlignment="1">
      <alignment horizontal="right" vertical="center"/>
    </xf>
    <xf numFmtId="165" fontId="32" fillId="9" borderId="1" xfId="5" applyNumberFormat="1" applyFont="1" applyFill="1" applyBorder="1"/>
    <xf numFmtId="10" fontId="10" fillId="0" borderId="6" xfId="0" applyNumberFormat="1" applyFont="1" applyBorder="1"/>
    <xf numFmtId="0" fontId="11" fillId="0" borderId="0" xfId="0" applyFont="1" applyAlignment="1">
      <alignment horizontal="center"/>
    </xf>
    <xf numFmtId="165" fontId="10" fillId="0" borderId="6" xfId="0" applyNumberFormat="1" applyFont="1" applyBorder="1" applyAlignment="1">
      <alignment vertical="center"/>
    </xf>
    <xf numFmtId="165" fontId="10" fillId="0" borderId="18" xfId="0" applyNumberFormat="1" applyFont="1" applyBorder="1" applyAlignment="1">
      <alignment vertical="center"/>
    </xf>
    <xf numFmtId="0" fontId="10" fillId="0" borderId="7" xfId="0" applyFont="1" applyBorder="1"/>
    <xf numFmtId="165" fontId="11" fillId="0" borderId="0" xfId="0" applyNumberFormat="1" applyFont="1" applyFill="1" applyBorder="1"/>
    <xf numFmtId="165" fontId="10" fillId="0" borderId="0" xfId="0" applyNumberFormat="1" applyFont="1" applyFill="1" applyBorder="1"/>
    <xf numFmtId="1" fontId="10" fillId="0" borderId="14" xfId="0" applyNumberFormat="1" applyFont="1" applyFill="1" applyBorder="1" applyAlignment="1">
      <alignment horizontal="center" vertical="center"/>
    </xf>
    <xf numFmtId="165" fontId="10" fillId="0" borderId="27" xfId="0" applyNumberFormat="1" applyFont="1" applyFill="1" applyBorder="1"/>
    <xf numFmtId="165" fontId="10" fillId="0" borderId="18" xfId="0" applyNumberFormat="1" applyFont="1" applyFill="1" applyBorder="1"/>
    <xf numFmtId="165" fontId="11" fillId="0" borderId="12" xfId="0" applyNumberFormat="1" applyFont="1" applyFill="1" applyBorder="1"/>
    <xf numFmtId="165" fontId="11" fillId="0" borderId="0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>
      <alignment horizontal="right" vertical="center"/>
    </xf>
    <xf numFmtId="10" fontId="32" fillId="2" borderId="1" xfId="5" applyNumberFormat="1" applyFont="1" applyFill="1" applyBorder="1" applyAlignment="1">
      <alignment vertical="center"/>
    </xf>
    <xf numFmtId="165" fontId="32" fillId="4" borderId="1" xfId="1" applyNumberFormat="1" applyFont="1" applyFill="1" applyBorder="1"/>
    <xf numFmtId="165" fontId="32" fillId="10" borderId="1" xfId="5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165" fontId="10" fillId="9" borderId="14" xfId="0" applyNumberFormat="1" applyFont="1" applyFill="1" applyBorder="1"/>
    <xf numFmtId="4" fontId="23" fillId="2" borderId="1" xfId="5" applyNumberFormat="1" applyFont="1" applyFill="1" applyBorder="1"/>
    <xf numFmtId="2" fontId="32" fillId="2" borderId="1" xfId="5" applyNumberFormat="1" applyFont="1" applyFill="1" applyBorder="1"/>
    <xf numFmtId="10" fontId="23" fillId="0" borderId="17" xfId="5" applyNumberFormat="1" applyFont="1" applyFill="1" applyBorder="1" applyAlignment="1">
      <alignment horizontal="center"/>
    </xf>
    <xf numFmtId="10" fontId="32" fillId="0" borderId="1" xfId="5" applyNumberFormat="1" applyFont="1" applyFill="1" applyBorder="1" applyAlignment="1">
      <alignment horizontal="right" vertical="center" wrapText="1"/>
    </xf>
    <xf numFmtId="10" fontId="23" fillId="0" borderId="1" xfId="5" applyNumberFormat="1" applyFont="1" applyFill="1" applyBorder="1"/>
    <xf numFmtId="10" fontId="33" fillId="0" borderId="1" xfId="5" applyNumberFormat="1" applyFont="1" applyFill="1" applyBorder="1" applyAlignment="1">
      <alignment horizontal="right" vertical="center"/>
    </xf>
    <xf numFmtId="10" fontId="23" fillId="0" borderId="1" xfId="5" applyNumberFormat="1" applyFont="1" applyFill="1" applyBorder="1" applyAlignment="1">
      <alignment horizontal="right" vertical="center"/>
    </xf>
    <xf numFmtId="10" fontId="33" fillId="0" borderId="1" xfId="5" applyNumberFormat="1" applyFont="1" applyFill="1" applyBorder="1" applyAlignment="1">
      <alignment vertical="center"/>
    </xf>
    <xf numFmtId="165" fontId="33" fillId="10" borderId="1" xfId="5" applyNumberFormat="1" applyFont="1" applyFill="1" applyBorder="1" applyAlignment="1">
      <alignment horizontal="right" vertical="center"/>
    </xf>
    <xf numFmtId="165" fontId="32" fillId="10" borderId="1" xfId="1" applyNumberFormat="1" applyFont="1" applyFill="1" applyBorder="1" applyAlignment="1">
      <alignment horizontal="right" vertical="center"/>
    </xf>
    <xf numFmtId="165" fontId="17" fillId="10" borderId="1" xfId="2" applyNumberFormat="1" applyFont="1" applyFill="1" applyBorder="1" applyAlignment="1">
      <alignment horizontal="right" vertical="center"/>
    </xf>
    <xf numFmtId="165" fontId="17" fillId="10" borderId="1" xfId="2" applyNumberFormat="1" applyFont="1" applyFill="1" applyBorder="1" applyAlignment="1">
      <alignment vertical="center"/>
    </xf>
    <xf numFmtId="165" fontId="24" fillId="8" borderId="1" xfId="5" applyNumberFormat="1" applyFont="1" applyFill="1" applyBorder="1" applyAlignment="1">
      <alignment vertical="center"/>
    </xf>
    <xf numFmtId="165" fontId="16" fillId="8" borderId="1" xfId="5" applyNumberFormat="1" applyFont="1" applyFill="1" applyBorder="1" applyAlignment="1">
      <alignment horizontal="right" vertical="center"/>
    </xf>
    <xf numFmtId="165" fontId="23" fillId="11" borderId="1" xfId="1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165" fontId="15" fillId="0" borderId="16" xfId="0" applyNumberFormat="1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3" fontId="11" fillId="0" borderId="4" xfId="0" applyNumberFormat="1" applyFont="1" applyFill="1" applyBorder="1"/>
    <xf numFmtId="0" fontId="11" fillId="0" borderId="4" xfId="0" applyFont="1" applyFill="1" applyBorder="1"/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3" fontId="10" fillId="0" borderId="4" xfId="0" applyNumberFormat="1" applyFont="1" applyFill="1" applyBorder="1"/>
    <xf numFmtId="0" fontId="11" fillId="0" borderId="1" xfId="0" applyFont="1" applyFill="1" applyBorder="1" applyAlignment="1">
      <alignment wrapText="1"/>
    </xf>
    <xf numFmtId="3" fontId="10" fillId="0" borderId="1" xfId="0" applyNumberFormat="1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165" fontId="10" fillId="0" borderId="9" xfId="0" applyNumberFormat="1" applyFont="1" applyFill="1" applyBorder="1"/>
    <xf numFmtId="0" fontId="10" fillId="0" borderId="9" xfId="0" applyFont="1" applyFill="1" applyBorder="1" applyAlignment="1">
      <alignment horizontal="center"/>
    </xf>
    <xf numFmtId="165" fontId="10" fillId="0" borderId="13" xfId="0" applyNumberFormat="1" applyFont="1" applyFill="1" applyBorder="1"/>
    <xf numFmtId="3" fontId="11" fillId="0" borderId="13" xfId="0" applyNumberFormat="1" applyFont="1" applyFill="1" applyBorder="1"/>
    <xf numFmtId="0" fontId="10" fillId="0" borderId="5" xfId="0" applyFont="1" applyFill="1" applyBorder="1"/>
    <xf numFmtId="165" fontId="10" fillId="0" borderId="6" xfId="0" applyNumberFormat="1" applyFont="1" applyFill="1" applyBorder="1"/>
    <xf numFmtId="3" fontId="11" fillId="0" borderId="7" xfId="0" applyNumberFormat="1" applyFont="1" applyFill="1" applyBorder="1"/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3" fontId="11" fillId="0" borderId="4" xfId="0" applyNumberFormat="1" applyFont="1" applyBorder="1"/>
    <xf numFmtId="3" fontId="11" fillId="0" borderId="1" xfId="0" applyNumberFormat="1" applyFont="1" applyBorder="1"/>
    <xf numFmtId="3" fontId="11" fillId="0" borderId="9" xfId="0" applyNumberFormat="1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65" fontId="10" fillId="0" borderId="7" xfId="0" applyNumberFormat="1" applyFont="1" applyBorder="1"/>
    <xf numFmtId="0" fontId="11" fillId="0" borderId="4" xfId="0" applyFont="1" applyBorder="1" applyAlignment="1">
      <alignment wrapText="1"/>
    </xf>
    <xf numFmtId="0" fontId="18" fillId="0" borderId="0" xfId="3"/>
    <xf numFmtId="0" fontId="17" fillId="0" borderId="0" xfId="3" applyFont="1" applyAlignment="1">
      <alignment horizontal="right"/>
    </xf>
    <xf numFmtId="0" fontId="17" fillId="0" borderId="0" xfId="3" applyFont="1"/>
    <xf numFmtId="0" fontId="17" fillId="0" borderId="0" xfId="3" applyFont="1" applyProtection="1">
      <protection locked="0"/>
    </xf>
    <xf numFmtId="0" fontId="17" fillId="0" borderId="0" xfId="3" applyFont="1" applyAlignment="1" applyProtection="1">
      <alignment horizontal="center"/>
      <protection locked="0"/>
    </xf>
    <xf numFmtId="0" fontId="39" fillId="0" borderId="1" xfId="3" applyFont="1" applyBorder="1" applyAlignment="1">
      <alignment horizontal="center"/>
    </xf>
    <xf numFmtId="0" fontId="39" fillId="0" borderId="1" xfId="3" applyFont="1" applyBorder="1" applyAlignment="1" applyProtection="1">
      <alignment horizontal="center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33" fillId="0" borderId="1" xfId="3" applyFont="1" applyBorder="1" applyAlignment="1" applyProtection="1">
      <alignment horizontal="left" vertical="center"/>
      <protection locked="0"/>
    </xf>
    <xf numFmtId="0" fontId="33" fillId="0" borderId="1" xfId="3" applyFont="1" applyBorder="1" applyAlignment="1" applyProtection="1">
      <alignment horizontal="center" vertical="center" wrapText="1"/>
      <protection locked="0"/>
    </xf>
    <xf numFmtId="0" fontId="17" fillId="0" borderId="1" xfId="3" applyFont="1" applyBorder="1" applyAlignment="1">
      <alignment horizontal="center"/>
    </xf>
    <xf numFmtId="0" fontId="17" fillId="0" borderId="1" xfId="3" applyFont="1" applyBorder="1" applyAlignment="1" applyProtection="1">
      <alignment horizontal="left" vertical="center" wrapText="1"/>
      <protection locked="0"/>
    </xf>
    <xf numFmtId="41" fontId="17" fillId="0" borderId="1" xfId="3" applyNumberFormat="1" applyFont="1" applyBorder="1" applyAlignment="1" applyProtection="1">
      <alignment horizontal="right" vertical="center"/>
      <protection locked="0"/>
    </xf>
    <xf numFmtId="0" fontId="17" fillId="0" borderId="1" xfId="3" applyFont="1" applyFill="1" applyBorder="1" applyAlignment="1" applyProtection="1">
      <alignment horizontal="left" vertical="center" wrapText="1"/>
      <protection locked="0"/>
    </xf>
    <xf numFmtId="0" fontId="33" fillId="0" borderId="1" xfId="3" applyFont="1" applyBorder="1"/>
    <xf numFmtId="166" fontId="33" fillId="0" borderId="1" xfId="7" applyNumberFormat="1" applyFont="1" applyBorder="1" applyAlignment="1">
      <alignment horizontal="center"/>
    </xf>
    <xf numFmtId="0" fontId="33" fillId="0" borderId="0" xfId="3" applyFont="1"/>
    <xf numFmtId="0" fontId="43" fillId="0" borderId="0" xfId="3" applyFont="1"/>
    <xf numFmtId="0" fontId="17" fillId="0" borderId="1" xfId="3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11" fillId="0" borderId="13" xfId="0" applyNumberFormat="1" applyFont="1" applyBorder="1"/>
    <xf numFmtId="3" fontId="10" fillId="0" borderId="18" xfId="0" applyNumberFormat="1" applyFont="1" applyBorder="1"/>
    <xf numFmtId="3" fontId="10" fillId="0" borderId="12" xfId="0" applyNumberFormat="1" applyFont="1" applyBorder="1"/>
    <xf numFmtId="0" fontId="10" fillId="0" borderId="0" xfId="0" applyFont="1" applyBorder="1"/>
    <xf numFmtId="0" fontId="44" fillId="0" borderId="0" xfId="8" applyFont="1" applyFill="1" applyAlignment="1">
      <alignment horizontal="center"/>
    </xf>
    <xf numFmtId="0" fontId="44" fillId="0" borderId="0" xfId="8" applyFont="1" applyFill="1"/>
    <xf numFmtId="3" fontId="44" fillId="0" borderId="0" xfId="8" applyNumberFormat="1" applyFont="1" applyFill="1" applyAlignment="1">
      <alignment vertical="center"/>
    </xf>
    <xf numFmtId="10" fontId="44" fillId="0" borderId="0" xfId="8" applyNumberFormat="1" applyFont="1" applyFill="1" applyAlignment="1">
      <alignment horizontal="right"/>
    </xf>
    <xf numFmtId="0" fontId="45" fillId="0" borderId="1" xfId="8" applyFont="1" applyFill="1" applyBorder="1" applyAlignment="1">
      <alignment horizontal="center" vertical="center"/>
    </xf>
    <xf numFmtId="0" fontId="45" fillId="0" borderId="1" xfId="8" applyFont="1" applyFill="1" applyBorder="1" applyAlignment="1">
      <alignment horizontal="center"/>
    </xf>
    <xf numFmtId="3" fontId="45" fillId="0" borderId="1" xfId="8" applyNumberFormat="1" applyFont="1" applyFill="1" applyBorder="1" applyAlignment="1">
      <alignment horizontal="center" vertical="center"/>
    </xf>
    <xf numFmtId="3" fontId="44" fillId="0" borderId="1" xfId="8" applyNumberFormat="1" applyFont="1" applyFill="1" applyBorder="1" applyAlignment="1">
      <alignment vertical="center"/>
    </xf>
    <xf numFmtId="10" fontId="44" fillId="0" borderId="1" xfId="8" applyNumberFormat="1" applyFont="1" applyFill="1" applyBorder="1"/>
    <xf numFmtId="0" fontId="45" fillId="0" borderId="9" xfId="8" applyFont="1" applyFill="1" applyBorder="1" applyAlignment="1">
      <alignment horizontal="center" vertical="center"/>
    </xf>
    <xf numFmtId="0" fontId="46" fillId="0" borderId="1" xfId="8" applyFont="1" applyFill="1" applyBorder="1" applyAlignment="1">
      <alignment horizontal="center" vertical="center" wrapText="1"/>
    </xf>
    <xf numFmtId="0" fontId="47" fillId="0" borderId="9" xfId="8" applyFont="1" applyFill="1" applyBorder="1" applyAlignment="1">
      <alignment horizontal="center" vertical="center"/>
    </xf>
    <xf numFmtId="0" fontId="47" fillId="0" borderId="1" xfId="8" applyFont="1" applyFill="1" applyBorder="1" applyAlignment="1">
      <alignment horizontal="center" vertical="center" wrapText="1"/>
    </xf>
    <xf numFmtId="3" fontId="47" fillId="0" borderId="1" xfId="8" applyNumberFormat="1" applyFont="1" applyFill="1" applyBorder="1" applyAlignment="1">
      <alignment horizontal="center" vertical="center" wrapText="1"/>
    </xf>
    <xf numFmtId="3" fontId="48" fillId="0" borderId="1" xfId="8" applyNumberFormat="1" applyFont="1" applyFill="1" applyBorder="1" applyAlignment="1">
      <alignment horizontal="center" vertical="center" wrapText="1"/>
    </xf>
    <xf numFmtId="10" fontId="48" fillId="0" borderId="1" xfId="8" applyNumberFormat="1" applyFont="1" applyFill="1" applyBorder="1" applyAlignment="1">
      <alignment horizontal="center" vertical="center" wrapText="1"/>
    </xf>
    <xf numFmtId="0" fontId="47" fillId="0" borderId="0" xfId="8" applyFont="1" applyFill="1" applyAlignment="1">
      <alignment horizontal="center" vertical="center"/>
    </xf>
    <xf numFmtId="0" fontId="5" fillId="0" borderId="1" xfId="8" applyFill="1" applyBorder="1"/>
    <xf numFmtId="165" fontId="44" fillId="0" borderId="1" xfId="8" applyNumberFormat="1" applyFont="1" applyFill="1" applyBorder="1" applyAlignment="1">
      <alignment horizontal="right" vertical="center" wrapText="1"/>
    </xf>
    <xf numFmtId="165" fontId="44" fillId="0" borderId="1" xfId="8" applyNumberFormat="1" applyFont="1" applyFill="1" applyBorder="1" applyAlignment="1">
      <alignment vertical="center"/>
    </xf>
    <xf numFmtId="0" fontId="5" fillId="0" borderId="1" xfId="8" applyFont="1" applyFill="1" applyBorder="1"/>
    <xf numFmtId="0" fontId="5" fillId="0" borderId="1" xfId="8" applyFill="1" applyBorder="1" applyAlignment="1">
      <alignment wrapText="1"/>
    </xf>
    <xf numFmtId="0" fontId="5" fillId="0" borderId="0" xfId="8" applyFont="1" applyFill="1"/>
    <xf numFmtId="0" fontId="44" fillId="0" borderId="1" xfId="8" applyFont="1" applyFill="1" applyBorder="1"/>
    <xf numFmtId="165" fontId="44" fillId="0" borderId="1" xfId="8" applyNumberFormat="1" applyFont="1" applyFill="1" applyBorder="1"/>
    <xf numFmtId="0" fontId="47" fillId="0" borderId="1" xfId="8" applyFont="1" applyFill="1" applyBorder="1" applyAlignment="1">
      <alignment horizontal="justify" vertical="center" wrapText="1"/>
    </xf>
    <xf numFmtId="165" fontId="47" fillId="0" borderId="1" xfId="8" applyNumberFormat="1" applyFont="1" applyFill="1" applyBorder="1" applyAlignment="1">
      <alignment horizontal="right" vertical="center" wrapText="1"/>
    </xf>
    <xf numFmtId="10" fontId="47" fillId="0" borderId="1" xfId="8" applyNumberFormat="1" applyFont="1" applyFill="1" applyBorder="1"/>
    <xf numFmtId="0" fontId="45" fillId="0" borderId="0" xfId="8" applyFont="1" applyFill="1" applyBorder="1" applyAlignment="1">
      <alignment horizontal="center" vertical="center"/>
    </xf>
    <xf numFmtId="10" fontId="44" fillId="0" borderId="0" xfId="8" applyNumberFormat="1" applyFont="1" applyFill="1"/>
    <xf numFmtId="0" fontId="49" fillId="0" borderId="1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wrapText="1"/>
    </xf>
    <xf numFmtId="0" fontId="4" fillId="0" borderId="1" xfId="8" applyFont="1" applyFill="1" applyBorder="1"/>
    <xf numFmtId="0" fontId="39" fillId="0" borderId="0" xfId="8" applyFont="1" applyAlignment="1">
      <alignment vertical="center"/>
    </xf>
    <xf numFmtId="0" fontId="17" fillId="0" borderId="0" xfId="8" applyFont="1" applyAlignment="1">
      <alignment vertical="center"/>
    </xf>
    <xf numFmtId="0" fontId="39" fillId="0" borderId="34" xfId="8" applyFont="1" applyBorder="1" applyAlignment="1">
      <alignment horizontal="center" vertical="center"/>
    </xf>
    <xf numFmtId="0" fontId="39" fillId="0" borderId="40" xfId="8" applyFont="1" applyBorder="1" applyAlignment="1">
      <alignment horizontal="center" vertical="center"/>
    </xf>
    <xf numFmtId="0" fontId="39" fillId="0" borderId="41" xfId="8" applyFont="1" applyBorder="1" applyAlignment="1">
      <alignment horizontal="center" vertical="center"/>
    </xf>
    <xf numFmtId="0" fontId="39" fillId="0" borderId="0" xfId="8" applyFont="1" applyBorder="1" applyAlignment="1">
      <alignment horizontal="center" vertical="center"/>
    </xf>
    <xf numFmtId="0" fontId="39" fillId="0" borderId="42" xfId="8" applyFont="1" applyBorder="1" applyAlignment="1">
      <alignment horizontal="center" vertical="center"/>
    </xf>
    <xf numFmtId="0" fontId="31" fillId="0" borderId="0" xfId="8" applyFont="1" applyBorder="1" applyAlignment="1">
      <alignment horizontal="center" vertical="center" wrapText="1"/>
    </xf>
    <xf numFmtId="0" fontId="17" fillId="0" borderId="0" xfId="8" applyFont="1" applyBorder="1" applyAlignment="1">
      <alignment vertical="center"/>
    </xf>
    <xf numFmtId="0" fontId="39" fillId="0" borderId="44" xfId="8" applyFont="1" applyBorder="1" applyAlignment="1">
      <alignment horizontal="center" vertical="center"/>
    </xf>
    <xf numFmtId="0" fontId="39" fillId="0" borderId="0" xfId="8" applyFont="1" applyBorder="1" applyAlignment="1">
      <alignment horizontal="right" vertical="center" wrapText="1"/>
    </xf>
    <xf numFmtId="0" fontId="39" fillId="0" borderId="4" xfId="8" applyFont="1" applyBorder="1" applyAlignment="1">
      <alignment horizontal="center" vertical="center"/>
    </xf>
    <xf numFmtId="0" fontId="33" fillId="0" borderId="4" xfId="8" applyFont="1" applyBorder="1" applyAlignment="1">
      <alignment horizontal="center" vertical="center"/>
    </xf>
    <xf numFmtId="0" fontId="33" fillId="0" borderId="4" xfId="8" applyFont="1" applyBorder="1" applyAlignment="1">
      <alignment horizontal="center" vertical="center" wrapText="1"/>
    </xf>
    <xf numFmtId="0" fontId="33" fillId="0" borderId="0" xfId="8" applyFont="1" applyBorder="1" applyAlignment="1">
      <alignment horizontal="center" vertical="center" wrapText="1"/>
    </xf>
    <xf numFmtId="0" fontId="17" fillId="0" borderId="0" xfId="8" applyFont="1" applyAlignment="1">
      <alignment horizontal="center" vertical="center"/>
    </xf>
    <xf numFmtId="0" fontId="39" fillId="0" borderId="1" xfId="8" applyFont="1" applyBorder="1" applyAlignment="1">
      <alignment horizontal="center" vertical="center"/>
    </xf>
    <xf numFmtId="0" fontId="33" fillId="0" borderId="1" xfId="8" applyFont="1" applyBorder="1" applyAlignment="1">
      <alignment horizontal="center" vertical="center"/>
    </xf>
    <xf numFmtId="0" fontId="17" fillId="0" borderId="1" xfId="8" applyFont="1" applyBorder="1" applyAlignment="1">
      <alignment vertical="center" wrapText="1"/>
    </xf>
    <xf numFmtId="41" fontId="17" fillId="0" borderId="1" xfId="8" applyNumberFormat="1" applyFont="1" applyBorder="1" applyAlignment="1" applyProtection="1">
      <alignment horizontal="right" vertical="center"/>
      <protection locked="0"/>
    </xf>
    <xf numFmtId="41" fontId="17" fillId="0" borderId="0" xfId="8" applyNumberFormat="1" applyFont="1" applyBorder="1" applyAlignment="1" applyProtection="1">
      <alignment horizontal="right" vertical="center"/>
      <protection locked="0"/>
    </xf>
    <xf numFmtId="41" fontId="17" fillId="0" borderId="0" xfId="8" applyNumberFormat="1" applyFont="1" applyAlignment="1">
      <alignment vertical="center"/>
    </xf>
    <xf numFmtId="0" fontId="50" fillId="0" borderId="0" xfId="8" applyFont="1" applyAlignment="1">
      <alignment vertical="center"/>
    </xf>
    <xf numFmtId="0" fontId="38" fillId="0" borderId="0" xfId="8" applyFont="1"/>
    <xf numFmtId="0" fontId="38" fillId="0" borderId="0" xfId="8" applyFont="1" applyAlignment="1">
      <alignment horizontal="right"/>
    </xf>
    <xf numFmtId="0" fontId="38" fillId="2" borderId="0" xfId="8" applyFont="1" applyFill="1"/>
    <xf numFmtId="0" fontId="31" fillId="2" borderId="4" xfId="8" applyFont="1" applyFill="1" applyBorder="1" applyAlignment="1">
      <alignment horizontal="center" vertical="top" wrapText="1"/>
    </xf>
    <xf numFmtId="0" fontId="31" fillId="2" borderId="4" xfId="8" applyFont="1" applyFill="1" applyBorder="1"/>
    <xf numFmtId="0" fontId="38" fillId="2" borderId="1" xfId="8" applyFont="1" applyFill="1" applyBorder="1" applyAlignment="1">
      <alignment horizontal="center" vertical="top" wrapText="1"/>
    </xf>
    <xf numFmtId="0" fontId="38" fillId="0" borderId="1" xfId="8" applyFont="1" applyBorder="1" applyAlignment="1">
      <alignment horizontal="center" vertical="top" wrapText="1"/>
    </xf>
    <xf numFmtId="0" fontId="38" fillId="0" borderId="1" xfId="8" applyFont="1" applyBorder="1" applyAlignment="1">
      <alignment horizontal="left" vertical="top" wrapText="1"/>
    </xf>
    <xf numFmtId="3" fontId="38" fillId="0" borderId="1" xfId="8" applyNumberFormat="1" applyFont="1" applyBorder="1" applyAlignment="1">
      <alignment horizontal="right" vertical="top" wrapText="1"/>
    </xf>
    <xf numFmtId="0" fontId="31" fillId="0" borderId="1" xfId="8" applyFont="1" applyBorder="1" applyAlignment="1">
      <alignment horizontal="center" vertical="top" wrapText="1"/>
    </xf>
    <xf numFmtId="0" fontId="31" fillId="0" borderId="1" xfId="8" applyFont="1" applyBorder="1" applyAlignment="1">
      <alignment horizontal="left" vertical="top" wrapText="1"/>
    </xf>
    <xf numFmtId="3" fontId="31" fillId="0" borderId="1" xfId="8" applyNumberFormat="1" applyFont="1" applyBorder="1" applyAlignment="1">
      <alignment horizontal="right" vertical="top" wrapText="1"/>
    </xf>
    <xf numFmtId="0" fontId="3" fillId="0" borderId="0" xfId="9"/>
    <xf numFmtId="3" fontId="3" fillId="0" borderId="0" xfId="9" applyNumberFormat="1"/>
    <xf numFmtId="0" fontId="3" fillId="0" borderId="0" xfId="9" applyFont="1" applyAlignment="1">
      <alignment horizontal="right"/>
    </xf>
    <xf numFmtId="0" fontId="51" fillId="0" borderId="1" xfId="9" applyFont="1" applyBorder="1"/>
    <xf numFmtId="0" fontId="13" fillId="0" borderId="1" xfId="9" applyFont="1" applyBorder="1" applyAlignment="1">
      <alignment horizontal="center"/>
    </xf>
    <xf numFmtId="0" fontId="13" fillId="0" borderId="1" xfId="9" applyFont="1" applyBorder="1" applyAlignment="1">
      <alignment horizontal="center" wrapText="1"/>
    </xf>
    <xf numFmtId="3" fontId="13" fillId="0" borderId="1" xfId="9" applyNumberFormat="1" applyFont="1" applyBorder="1" applyAlignment="1">
      <alignment horizontal="center"/>
    </xf>
    <xf numFmtId="0" fontId="13" fillId="0" borderId="1" xfId="9" applyFont="1" applyBorder="1" applyAlignment="1">
      <alignment horizontal="center" vertical="center"/>
    </xf>
    <xf numFmtId="0" fontId="3" fillId="0" borderId="0" xfId="9" applyAlignment="1">
      <alignment vertical="center"/>
    </xf>
    <xf numFmtId="0" fontId="12" fillId="12" borderId="1" xfId="9" applyFont="1" applyFill="1" applyBorder="1" applyAlignment="1">
      <alignment vertical="center"/>
    </xf>
    <xf numFmtId="1" fontId="12" fillId="0" borderId="1" xfId="9" applyNumberFormat="1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165" fontId="12" fillId="0" borderId="1" xfId="10" applyNumberFormat="1" applyFont="1" applyBorder="1" applyAlignment="1">
      <alignment horizontal="right" vertical="center" wrapText="1"/>
    </xf>
    <xf numFmtId="165" fontId="12" fillId="0" borderId="1" xfId="9" applyNumberFormat="1" applyFont="1" applyBorder="1" applyAlignment="1">
      <alignment horizontal="center" vertical="center"/>
    </xf>
    <xf numFmtId="165" fontId="12" fillId="0" borderId="1" xfId="10" applyNumberFormat="1" applyFont="1" applyBorder="1" applyAlignment="1">
      <alignment horizontal="right" vertical="center"/>
    </xf>
    <xf numFmtId="14" fontId="12" fillId="0" borderId="1" xfId="9" applyNumberFormat="1" applyFont="1" applyBorder="1" applyAlignment="1">
      <alignment vertical="center"/>
    </xf>
    <xf numFmtId="0" fontId="12" fillId="0" borderId="1" xfId="9" applyFont="1" applyBorder="1" applyAlignment="1">
      <alignment vertical="center"/>
    </xf>
    <xf numFmtId="165" fontId="12" fillId="0" borderId="1" xfId="9" applyNumberFormat="1" applyFont="1" applyBorder="1" applyAlignment="1">
      <alignment vertical="center"/>
    </xf>
    <xf numFmtId="165" fontId="12" fillId="0" borderId="1" xfId="9" applyNumberFormat="1" applyFont="1" applyBorder="1" applyAlignment="1">
      <alignment horizontal="right" vertical="center"/>
    </xf>
    <xf numFmtId="0" fontId="12" fillId="0" borderId="1" xfId="9" applyFont="1" applyBorder="1" applyAlignment="1">
      <alignment vertical="center" wrapText="1"/>
    </xf>
    <xf numFmtId="0" fontId="19" fillId="0" borderId="0" xfId="9" applyFont="1" applyAlignment="1">
      <alignment vertical="center"/>
    </xf>
    <xf numFmtId="0" fontId="15" fillId="0" borderId="1" xfId="9" applyFont="1" applyBorder="1" applyAlignment="1">
      <alignment vertical="center"/>
    </xf>
    <xf numFmtId="0" fontId="15" fillId="0" borderId="1" xfId="9" applyFont="1" applyBorder="1" applyAlignment="1">
      <alignment vertical="center" wrapText="1"/>
    </xf>
    <xf numFmtId="165" fontId="15" fillId="0" borderId="1" xfId="9" applyNumberFormat="1" applyFont="1" applyBorder="1" applyAlignment="1">
      <alignment vertical="center"/>
    </xf>
    <xf numFmtId="165" fontId="15" fillId="0" borderId="1" xfId="9" applyNumberFormat="1" applyFont="1" applyBorder="1" applyAlignment="1">
      <alignment horizontal="right" vertical="center"/>
    </xf>
    <xf numFmtId="49" fontId="53" fillId="0" borderId="0" xfId="11" applyNumberFormat="1"/>
    <xf numFmtId="0" fontId="54" fillId="0" borderId="0" xfId="11" applyFont="1"/>
    <xf numFmtId="3" fontId="54" fillId="0" borderId="0" xfId="11" applyNumberFormat="1" applyFont="1" applyAlignment="1">
      <alignment horizontal="right"/>
    </xf>
    <xf numFmtId="3" fontId="53" fillId="0" borderId="0" xfId="11" applyNumberFormat="1" applyAlignment="1">
      <alignment horizontal="right"/>
    </xf>
    <xf numFmtId="0" fontId="53" fillId="0" borderId="0" xfId="11"/>
    <xf numFmtId="0" fontId="53" fillId="0" borderId="0" xfId="11" applyAlignment="1"/>
    <xf numFmtId="0" fontId="53" fillId="0" borderId="0" xfId="11" applyAlignment="1">
      <alignment horizontal="center"/>
    </xf>
    <xf numFmtId="49" fontId="53" fillId="0" borderId="21" xfId="11" applyNumberFormat="1" applyBorder="1"/>
    <xf numFmtId="0" fontId="54" fillId="0" borderId="45" xfId="11" applyFont="1" applyBorder="1" applyAlignment="1">
      <alignment horizontal="center"/>
    </xf>
    <xf numFmtId="3" fontId="54" fillId="0" borderId="1" xfId="11" applyNumberFormat="1" applyFont="1" applyBorder="1" applyAlignment="1">
      <alignment horizontal="center"/>
    </xf>
    <xf numFmtId="3" fontId="54" fillId="0" borderId="1" xfId="11" applyNumberFormat="1" applyFont="1" applyBorder="1" applyAlignment="1">
      <alignment horizontal="center" wrapText="1"/>
    </xf>
    <xf numFmtId="49" fontId="53" fillId="0" borderId="15" xfId="11" applyNumberFormat="1" applyBorder="1"/>
    <xf numFmtId="0" fontId="54" fillId="0" borderId="17" xfId="11" applyFont="1" applyBorder="1" applyAlignment="1">
      <alignment horizontal="center"/>
    </xf>
    <xf numFmtId="3" fontId="54" fillId="0" borderId="1" xfId="11" applyNumberFormat="1" applyFont="1" applyBorder="1" applyAlignment="1">
      <alignment horizontal="right"/>
    </xf>
    <xf numFmtId="49" fontId="53" fillId="0" borderId="1" xfId="11" applyNumberFormat="1" applyBorder="1"/>
    <xf numFmtId="0" fontId="54" fillId="0" borderId="17" xfId="11" applyFont="1" applyBorder="1" applyAlignment="1">
      <alignment horizontal="left"/>
    </xf>
    <xf numFmtId="49" fontId="53" fillId="0" borderId="4" xfId="11" applyNumberFormat="1" applyFont="1" applyBorder="1"/>
    <xf numFmtId="0" fontId="53" fillId="0" borderId="17" xfId="11" applyFont="1" applyBorder="1" applyAlignment="1">
      <alignment horizontal="left" wrapText="1"/>
    </xf>
    <xf numFmtId="3" fontId="53" fillId="0" borderId="1" xfId="11" applyNumberFormat="1" applyFont="1" applyBorder="1" applyAlignment="1">
      <alignment horizontal="right"/>
    </xf>
    <xf numFmtId="0" fontId="53" fillId="0" borderId="0" xfId="11" applyFont="1"/>
    <xf numFmtId="49" fontId="53" fillId="0" borderId="1" xfId="11" applyNumberFormat="1" applyFont="1" applyBorder="1"/>
    <xf numFmtId="49" fontId="54" fillId="0" borderId="15" xfId="11" applyNumberFormat="1" applyFont="1" applyBorder="1"/>
    <xf numFmtId="0" fontId="54" fillId="0" borderId="4" xfId="11" applyFont="1" applyBorder="1" applyAlignment="1">
      <alignment horizontal="left"/>
    </xf>
    <xf numFmtId="0" fontId="53" fillId="0" borderId="1" xfId="11" applyBorder="1"/>
    <xf numFmtId="3" fontId="53" fillId="0" borderId="1" xfId="11" applyNumberFormat="1" applyBorder="1" applyAlignment="1">
      <alignment horizontal="right"/>
    </xf>
    <xf numFmtId="49" fontId="54" fillId="0" borderId="1" xfId="11" applyNumberFormat="1" applyFont="1" applyFill="1" applyBorder="1" applyAlignment="1">
      <alignment horizontal="right"/>
    </xf>
    <xf numFmtId="0" fontId="54" fillId="0" borderId="1" xfId="11" applyFont="1" applyFill="1" applyBorder="1"/>
    <xf numFmtId="3" fontId="54" fillId="0" borderId="1" xfId="11" applyNumberFormat="1" applyFont="1" applyFill="1" applyBorder="1" applyAlignment="1">
      <alignment horizontal="right"/>
    </xf>
    <xf numFmtId="0" fontId="53" fillId="0" borderId="0" xfId="11" applyFill="1"/>
    <xf numFmtId="49" fontId="53" fillId="0" borderId="1" xfId="11" applyNumberFormat="1" applyFont="1" applyBorder="1" applyAlignment="1">
      <alignment horizontal="right"/>
    </xf>
    <xf numFmtId="0" fontId="53" fillId="0" borderId="1" xfId="11" applyFont="1" applyBorder="1"/>
    <xf numFmtId="3" fontId="53" fillId="0" borderId="1" xfId="11" applyNumberFormat="1" applyFont="1" applyFill="1" applyBorder="1" applyAlignment="1">
      <alignment horizontal="right"/>
    </xf>
    <xf numFmtId="49" fontId="53" fillId="0" borderId="1" xfId="11" applyNumberFormat="1" applyBorder="1" applyAlignment="1">
      <alignment horizontal="right"/>
    </xf>
    <xf numFmtId="3" fontId="53" fillId="0" borderId="1" xfId="11" applyNumberFormat="1" applyFill="1" applyBorder="1" applyAlignment="1">
      <alignment horizontal="right"/>
    </xf>
    <xf numFmtId="0" fontId="53" fillId="0" borderId="1" xfId="11" applyBorder="1" applyAlignment="1">
      <alignment wrapText="1"/>
    </xf>
    <xf numFmtId="49" fontId="54" fillId="0" borderId="1" xfId="11" applyNumberFormat="1" applyFont="1" applyBorder="1" applyAlignment="1">
      <alignment horizontal="right"/>
    </xf>
    <xf numFmtId="0" fontId="54" fillId="0" borderId="1" xfId="11" applyFont="1" applyBorder="1"/>
    <xf numFmtId="0" fontId="53" fillId="0" borderId="1" xfId="11" applyFont="1" applyBorder="1" applyAlignment="1">
      <alignment wrapText="1"/>
    </xf>
    <xf numFmtId="49" fontId="53" fillId="0" borderId="1" xfId="11" applyNumberFormat="1" applyFont="1" applyFill="1" applyBorder="1" applyAlignment="1">
      <alignment horizontal="right"/>
    </xf>
    <xf numFmtId="0" fontId="53" fillId="0" borderId="0" xfId="11" applyFont="1" applyFill="1"/>
    <xf numFmtId="49" fontId="55" fillId="0" borderId="1" xfId="11" applyNumberFormat="1" applyFont="1" applyBorder="1" applyAlignment="1">
      <alignment horizontal="right"/>
    </xf>
    <xf numFmtId="3" fontId="53" fillId="2" borderId="1" xfId="11" applyNumberFormat="1" applyFont="1" applyFill="1" applyBorder="1" applyAlignment="1">
      <alignment horizontal="right"/>
    </xf>
    <xf numFmtId="49" fontId="54" fillId="3" borderId="9" xfId="11" applyNumberFormat="1" applyFont="1" applyFill="1" applyBorder="1" applyAlignment="1">
      <alignment horizontal="right"/>
    </xf>
    <xf numFmtId="0" fontId="54" fillId="3" borderId="9" xfId="11" applyFont="1" applyFill="1" applyBorder="1" applyAlignment="1">
      <alignment wrapText="1"/>
    </xf>
    <xf numFmtId="3" fontId="54" fillId="3" borderId="9" xfId="11" applyNumberFormat="1" applyFont="1" applyFill="1" applyBorder="1" applyAlignment="1">
      <alignment horizontal="right"/>
    </xf>
    <xf numFmtId="0" fontId="53" fillId="3" borderId="0" xfId="11" applyFill="1"/>
    <xf numFmtId="49" fontId="54" fillId="0" borderId="0" xfId="11" applyNumberFormat="1" applyFont="1" applyFill="1" applyBorder="1" applyAlignment="1">
      <alignment horizontal="right"/>
    </xf>
    <xf numFmtId="0" fontId="54" fillId="0" borderId="0" xfId="11" applyFont="1" applyFill="1" applyBorder="1" applyAlignment="1">
      <alignment wrapText="1"/>
    </xf>
    <xf numFmtId="3" fontId="54" fillId="0" borderId="0" xfId="11" applyNumberFormat="1" applyFont="1" applyFill="1" applyBorder="1" applyAlignment="1">
      <alignment horizontal="right"/>
    </xf>
    <xf numFmtId="0" fontId="53" fillId="0" borderId="0" xfId="11" applyFill="1" applyBorder="1"/>
    <xf numFmtId="49" fontId="53" fillId="0" borderId="1" xfId="11" applyNumberFormat="1" applyFont="1" applyFill="1" applyBorder="1" applyAlignment="1">
      <alignment horizontal="center"/>
    </xf>
    <xf numFmtId="0" fontId="53" fillId="0" borderId="1" xfId="11" applyFont="1" applyFill="1" applyBorder="1" applyAlignment="1">
      <alignment horizontal="center"/>
    </xf>
    <xf numFmtId="0" fontId="53" fillId="0" borderId="0" xfId="11" applyFont="1" applyFill="1" applyBorder="1" applyAlignment="1">
      <alignment horizontal="center"/>
    </xf>
    <xf numFmtId="0" fontId="53" fillId="0" borderId="1" xfId="11" applyFont="1" applyFill="1" applyBorder="1"/>
    <xf numFmtId="0" fontId="53" fillId="0" borderId="0" xfId="11" applyFont="1" applyFill="1" applyBorder="1"/>
    <xf numFmtId="0" fontId="54" fillId="0" borderId="1" xfId="11" applyFont="1" applyFill="1" applyBorder="1" applyAlignment="1">
      <alignment wrapText="1"/>
    </xf>
    <xf numFmtId="0" fontId="54" fillId="0" borderId="0" xfId="11" applyFont="1" applyFill="1" applyBorder="1"/>
    <xf numFmtId="0" fontId="53" fillId="0" borderId="1" xfId="11" applyFont="1" applyFill="1" applyBorder="1" applyAlignment="1">
      <alignment wrapText="1"/>
    </xf>
    <xf numFmtId="49" fontId="54" fillId="3" borderId="1" xfId="11" applyNumberFormat="1" applyFont="1" applyFill="1" applyBorder="1" applyAlignment="1">
      <alignment horizontal="right"/>
    </xf>
    <xf numFmtId="0" fontId="54" fillId="3" borderId="1" xfId="11" applyFont="1" applyFill="1" applyBorder="1" applyAlignment="1">
      <alignment wrapText="1"/>
    </xf>
    <xf numFmtId="3" fontId="54" fillId="3" borderId="1" xfId="11" applyNumberFormat="1" applyFont="1" applyFill="1" applyBorder="1" applyAlignment="1">
      <alignment horizontal="right"/>
    </xf>
    <xf numFmtId="0" fontId="54" fillId="3" borderId="0" xfId="11" applyFont="1" applyFill="1" applyBorder="1"/>
    <xf numFmtId="49" fontId="53" fillId="0" borderId="4" xfId="11" applyNumberFormat="1" applyFont="1" applyFill="1" applyBorder="1" applyAlignment="1">
      <alignment horizontal="right"/>
    </xf>
    <xf numFmtId="0" fontId="53" fillId="0" borderId="4" xfId="11" applyFont="1" applyFill="1" applyBorder="1" applyAlignment="1">
      <alignment wrapText="1"/>
    </xf>
    <xf numFmtId="3" fontId="53" fillId="0" borderId="4" xfId="11" applyNumberFormat="1" applyFont="1" applyFill="1" applyBorder="1" applyAlignment="1">
      <alignment horizontal="right"/>
    </xf>
    <xf numFmtId="49" fontId="54" fillId="0" borderId="4" xfId="11" applyNumberFormat="1" applyFont="1" applyBorder="1" applyAlignment="1">
      <alignment horizontal="right"/>
    </xf>
    <xf numFmtId="0" fontId="54" fillId="0" borderId="4" xfId="11" applyFont="1" applyBorder="1" applyAlignment="1">
      <alignment wrapText="1"/>
    </xf>
    <xf numFmtId="3" fontId="54" fillId="0" borderId="4" xfId="11" applyNumberFormat="1" applyFont="1" applyBorder="1" applyAlignment="1">
      <alignment horizontal="right"/>
    </xf>
    <xf numFmtId="49" fontId="54" fillId="3" borderId="4" xfId="11" applyNumberFormat="1" applyFont="1" applyFill="1" applyBorder="1" applyAlignment="1">
      <alignment horizontal="right"/>
    </xf>
    <xf numFmtId="0" fontId="54" fillId="3" borderId="4" xfId="11" applyFont="1" applyFill="1" applyBorder="1" applyAlignment="1">
      <alignment wrapText="1"/>
    </xf>
    <xf numFmtId="3" fontId="54" fillId="3" borderId="4" xfId="11" applyNumberFormat="1" applyFont="1" applyFill="1" applyBorder="1" applyAlignment="1">
      <alignment horizontal="right"/>
    </xf>
    <xf numFmtId="0" fontId="54" fillId="3" borderId="0" xfId="11" applyFont="1" applyFill="1"/>
    <xf numFmtId="0" fontId="54" fillId="0" borderId="1" xfId="11" applyFont="1" applyBorder="1" applyAlignment="1">
      <alignment wrapText="1"/>
    </xf>
    <xf numFmtId="0" fontId="54" fillId="3" borderId="1" xfId="11" applyFont="1" applyFill="1" applyBorder="1"/>
    <xf numFmtId="49" fontId="56" fillId="0" borderId="1" xfId="11" applyNumberFormat="1" applyFont="1" applyBorder="1" applyAlignment="1">
      <alignment horizontal="right"/>
    </xf>
    <xf numFmtId="0" fontId="56" fillId="0" borderId="1" xfId="11" applyFont="1" applyBorder="1"/>
    <xf numFmtId="3" fontId="56" fillId="0" borderId="1" xfId="11" applyNumberFormat="1" applyFont="1" applyBorder="1" applyAlignment="1">
      <alignment horizontal="right"/>
    </xf>
    <xf numFmtId="0" fontId="56" fillId="0" borderId="0" xfId="11" applyFont="1"/>
    <xf numFmtId="0" fontId="56" fillId="0" borderId="1" xfId="11" applyFont="1" applyBorder="1" applyAlignment="1">
      <alignment wrapText="1"/>
    </xf>
    <xf numFmtId="49" fontId="56" fillId="0" borderId="1" xfId="11" applyNumberFormat="1" applyFont="1" applyFill="1" applyBorder="1" applyAlignment="1">
      <alignment horizontal="right"/>
    </xf>
    <xf numFmtId="0" fontId="56" fillId="0" borderId="1" xfId="11" applyFont="1" applyFill="1" applyBorder="1"/>
    <xf numFmtId="3" fontId="56" fillId="0" borderId="1" xfId="11" applyNumberFormat="1" applyFont="1" applyFill="1" applyBorder="1" applyAlignment="1">
      <alignment horizontal="right"/>
    </xf>
    <xf numFmtId="0" fontId="56" fillId="0" borderId="0" xfId="11" applyFont="1" applyFill="1"/>
    <xf numFmtId="49" fontId="53" fillId="3" borderId="1" xfId="11" applyNumberFormat="1" applyFont="1" applyFill="1" applyBorder="1" applyAlignment="1">
      <alignment horizontal="right"/>
    </xf>
    <xf numFmtId="0" fontId="53" fillId="3" borderId="1" xfId="11" applyFont="1" applyFill="1" applyBorder="1"/>
    <xf numFmtId="3" fontId="53" fillId="3" borderId="1" xfId="11" applyNumberFormat="1" applyFont="1" applyFill="1" applyBorder="1" applyAlignment="1">
      <alignment horizontal="right"/>
    </xf>
    <xf numFmtId="0" fontId="53" fillId="3" borderId="0" xfId="11" applyFont="1" applyFill="1"/>
    <xf numFmtId="49" fontId="55" fillId="13" borderId="1" xfId="11" applyNumberFormat="1" applyFont="1" applyFill="1" applyBorder="1" applyAlignment="1">
      <alignment horizontal="right"/>
    </xf>
    <xf numFmtId="0" fontId="55" fillId="13" borderId="1" xfId="11" applyFont="1" applyFill="1" applyBorder="1"/>
    <xf numFmtId="3" fontId="55" fillId="13" borderId="1" xfId="11" applyNumberFormat="1" applyFont="1" applyFill="1" applyBorder="1" applyAlignment="1">
      <alignment horizontal="right"/>
    </xf>
    <xf numFmtId="0" fontId="55" fillId="13" borderId="0" xfId="11" applyFont="1" applyFill="1"/>
    <xf numFmtId="49" fontId="55" fillId="13" borderId="38" xfId="11" applyNumberFormat="1" applyFont="1" applyFill="1" applyBorder="1"/>
    <xf numFmtId="0" fontId="55" fillId="13" borderId="38" xfId="11" applyFont="1" applyFill="1" applyBorder="1"/>
    <xf numFmtId="3" fontId="55" fillId="13" borderId="38" xfId="11" applyNumberFormat="1" applyFont="1" applyFill="1" applyBorder="1" applyAlignment="1">
      <alignment horizontal="right"/>
    </xf>
    <xf numFmtId="0" fontId="54" fillId="0" borderId="0" xfId="11" applyFont="1" applyBorder="1"/>
    <xf numFmtId="3" fontId="54" fillId="0" borderId="0" xfId="11" applyNumberFormat="1" applyFont="1" applyBorder="1" applyAlignment="1">
      <alignment horizontal="right"/>
    </xf>
    <xf numFmtId="49" fontId="54" fillId="0" borderId="0" xfId="11" applyNumberFormat="1" applyFont="1" applyBorder="1"/>
    <xf numFmtId="0" fontId="53" fillId="0" borderId="0" xfId="11" applyBorder="1"/>
    <xf numFmtId="3" fontId="53" fillId="0" borderId="0" xfId="11" applyNumberFormat="1" applyBorder="1" applyAlignment="1">
      <alignment horizontal="right"/>
    </xf>
    <xf numFmtId="49" fontId="53" fillId="0" borderId="0" xfId="11" applyNumberFormat="1" applyBorder="1"/>
    <xf numFmtId="0" fontId="53" fillId="0" borderId="0" xfId="11" applyBorder="1" applyAlignment="1">
      <alignment horizontal="center" vertical="center"/>
    </xf>
    <xf numFmtId="3" fontId="53" fillId="0" borderId="0" xfId="11" applyNumberFormat="1" applyBorder="1" applyAlignment="1">
      <alignment horizontal="right" vertical="center"/>
    </xf>
    <xf numFmtId="3" fontId="53" fillId="0" borderId="0" xfId="11" applyNumberFormat="1" applyBorder="1" applyAlignment="1">
      <alignment horizontal="right" vertical="center" wrapText="1"/>
    </xf>
    <xf numFmtId="49" fontId="53" fillId="0" borderId="0" xfId="11" applyNumberFormat="1" applyBorder="1" applyAlignment="1">
      <alignment horizontal="center" vertical="center"/>
    </xf>
    <xf numFmtId="3" fontId="54" fillId="8" borderId="1" xfId="11" applyNumberFormat="1" applyFont="1" applyFill="1" applyBorder="1" applyAlignment="1">
      <alignment horizontal="right"/>
    </xf>
    <xf numFmtId="0" fontId="38" fillId="0" borderId="0" xfId="19" applyFont="1" applyFill="1"/>
    <xf numFmtId="3" fontId="38" fillId="0" borderId="0" xfId="19" applyNumberFormat="1" applyFont="1" applyFill="1"/>
    <xf numFmtId="3" fontId="38" fillId="0" borderId="0" xfId="19" applyNumberFormat="1" applyFont="1" applyFill="1" applyBorder="1"/>
    <xf numFmtId="0" fontId="38" fillId="0" borderId="0" xfId="19" applyFont="1" applyFill="1" applyBorder="1"/>
    <xf numFmtId="3" fontId="38" fillId="0" borderId="1" xfId="19" applyNumberFormat="1" applyFont="1" applyFill="1" applyBorder="1"/>
    <xf numFmtId="3" fontId="38" fillId="0" borderId="1" xfId="10" applyNumberFormat="1" applyFont="1" applyFill="1" applyBorder="1"/>
    <xf numFmtId="0" fontId="38" fillId="0" borderId="1" xfId="19" applyFont="1" applyFill="1" applyBorder="1" applyAlignment="1">
      <alignment wrapText="1"/>
    </xf>
    <xf numFmtId="0" fontId="38" fillId="0" borderId="1" xfId="19" applyFont="1" applyFill="1" applyBorder="1" applyAlignment="1">
      <alignment horizontal="center"/>
    </xf>
    <xf numFmtId="0" fontId="31" fillId="0" borderId="0" xfId="19" applyFont="1" applyFill="1"/>
    <xf numFmtId="3" fontId="31" fillId="0" borderId="1" xfId="19" applyNumberFormat="1" applyFont="1" applyFill="1" applyBorder="1"/>
    <xf numFmtId="3" fontId="31" fillId="0" borderId="1" xfId="10" applyNumberFormat="1" applyFont="1" applyFill="1" applyBorder="1"/>
    <xf numFmtId="0" fontId="31" fillId="0" borderId="1" xfId="19" applyFont="1" applyFill="1" applyBorder="1"/>
    <xf numFmtId="0" fontId="31" fillId="0" borderId="1" xfId="19" applyFont="1" applyFill="1" applyBorder="1" applyAlignment="1">
      <alignment horizontal="center"/>
    </xf>
    <xf numFmtId="0" fontId="38" fillId="0" borderId="1" xfId="19" applyFont="1" applyFill="1" applyBorder="1"/>
    <xf numFmtId="3" fontId="38" fillId="0" borderId="1" xfId="19" applyNumberFormat="1" applyFont="1" applyFill="1" applyBorder="1" applyAlignment="1">
      <alignment horizontal="right"/>
    </xf>
    <xf numFmtId="0" fontId="38" fillId="0" borderId="0" xfId="19" applyFont="1" applyFill="1" applyAlignment="1">
      <alignment horizontal="center" vertical="center"/>
    </xf>
    <xf numFmtId="3" fontId="38" fillId="0" borderId="1" xfId="19" applyNumberFormat="1" applyFont="1" applyFill="1" applyBorder="1" applyAlignment="1">
      <alignment horizontal="center" vertical="center" wrapText="1"/>
    </xf>
    <xf numFmtId="3" fontId="38" fillId="0" borderId="1" xfId="19" applyNumberFormat="1" applyFont="1" applyFill="1" applyBorder="1" applyAlignment="1">
      <alignment horizontal="center" vertical="center"/>
    </xf>
    <xf numFmtId="3" fontId="31" fillId="0" borderId="1" xfId="19" applyNumberFormat="1" applyFont="1" applyFill="1" applyBorder="1" applyAlignment="1">
      <alignment horizontal="center" vertical="center"/>
    </xf>
    <xf numFmtId="0" fontId="31" fillId="0" borderId="45" xfId="19" applyFont="1" applyFill="1" applyBorder="1" applyAlignment="1">
      <alignment horizontal="center" vertical="center"/>
    </xf>
    <xf numFmtId="0" fontId="38" fillId="0" borderId="21" xfId="19" applyFont="1" applyFill="1" applyBorder="1" applyAlignment="1">
      <alignment horizontal="center" vertical="center"/>
    </xf>
    <xf numFmtId="0" fontId="31" fillId="0" borderId="0" xfId="19" applyFont="1" applyFill="1" applyAlignment="1">
      <alignment horizontal="center" vertical="center" wrapText="1"/>
    </xf>
    <xf numFmtId="0" fontId="31" fillId="0" borderId="0" xfId="19" applyFont="1" applyFill="1" applyAlignment="1">
      <alignment horizontal="center" vertical="center"/>
    </xf>
    <xf numFmtId="3" fontId="57" fillId="0" borderId="0" xfId="19" applyNumberFormat="1" applyFont="1" applyFill="1" applyAlignment="1">
      <alignment horizontal="center"/>
    </xf>
    <xf numFmtId="0" fontId="57" fillId="0" borderId="0" xfId="19" applyFont="1" applyFill="1" applyAlignment="1">
      <alignment horizontal="center"/>
    </xf>
    <xf numFmtId="3" fontId="38" fillId="0" borderId="0" xfId="19" applyNumberFormat="1" applyFont="1" applyFill="1" applyAlignment="1">
      <alignment horizontal="right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5" fontId="23" fillId="0" borderId="0" xfId="1" applyNumberFormat="1" applyFont="1" applyFill="1" applyBorder="1" applyAlignment="1">
      <alignment horizontal="right"/>
    </xf>
    <xf numFmtId="165" fontId="32" fillId="0" borderId="16" xfId="1" applyNumberFormat="1" applyFont="1" applyFill="1" applyBorder="1" applyAlignment="1">
      <alignment horizontal="center" vertical="center" wrapText="1"/>
    </xf>
    <xf numFmtId="165" fontId="32" fillId="0" borderId="25" xfId="1" applyNumberFormat="1" applyFont="1" applyFill="1" applyBorder="1" applyAlignment="1">
      <alignment horizontal="center" vertical="center" wrapText="1"/>
    </xf>
    <xf numFmtId="165" fontId="32" fillId="0" borderId="19" xfId="1" applyNumberFormat="1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right"/>
    </xf>
    <xf numFmtId="0" fontId="22" fillId="0" borderId="16" xfId="5" applyFont="1" applyBorder="1" applyAlignment="1">
      <alignment horizontal="center" vertical="center" wrapText="1"/>
    </xf>
    <xf numFmtId="0" fontId="22" fillId="0" borderId="25" xfId="5" applyFont="1" applyBorder="1" applyAlignment="1">
      <alignment horizontal="center" vertical="center" wrapText="1"/>
    </xf>
    <xf numFmtId="0" fontId="22" fillId="0" borderId="19" xfId="5" applyFont="1" applyBorder="1" applyAlignment="1">
      <alignment horizontal="center" vertical="center" wrapText="1"/>
    </xf>
    <xf numFmtId="0" fontId="20" fillId="0" borderId="16" xfId="5" applyFont="1" applyBorder="1" applyAlignment="1">
      <alignment horizontal="center" vertical="center" wrapText="1"/>
    </xf>
    <xf numFmtId="0" fontId="20" fillId="0" borderId="25" xfId="5" applyFont="1" applyBorder="1" applyAlignment="1">
      <alignment horizontal="center" vertical="center" wrapText="1"/>
    </xf>
    <xf numFmtId="0" fontId="20" fillId="0" borderId="19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22" fillId="2" borderId="16" xfId="5" applyFont="1" applyFill="1" applyBorder="1" applyAlignment="1">
      <alignment horizontal="center" vertical="center" wrapText="1"/>
    </xf>
    <xf numFmtId="0" fontId="22" fillId="2" borderId="25" xfId="5" applyFont="1" applyFill="1" applyBorder="1" applyAlignment="1">
      <alignment horizontal="center" vertical="center" wrapText="1"/>
    </xf>
    <xf numFmtId="0" fontId="22" fillId="2" borderId="19" xfId="5" applyFont="1" applyFill="1" applyBorder="1" applyAlignment="1">
      <alignment horizontal="center" vertical="center" wrapText="1"/>
    </xf>
    <xf numFmtId="0" fontId="1" fillId="2" borderId="17" xfId="5" applyFont="1" applyFill="1" applyBorder="1" applyAlignment="1">
      <alignment horizontal="right"/>
    </xf>
    <xf numFmtId="0" fontId="7" fillId="2" borderId="17" xfId="5" applyFont="1" applyFill="1" applyBorder="1" applyAlignment="1">
      <alignment horizontal="right"/>
    </xf>
    <xf numFmtId="0" fontId="8" fillId="2" borderId="17" xfId="5" applyFill="1" applyBorder="1" applyAlignment="1">
      <alignment horizontal="right"/>
    </xf>
    <xf numFmtId="0" fontId="20" fillId="2" borderId="16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19" xfId="5" applyFont="1" applyFill="1" applyBorder="1" applyAlignment="1">
      <alignment horizontal="center" vertical="center" wrapText="1"/>
    </xf>
    <xf numFmtId="0" fontId="36" fillId="0" borderId="16" xfId="5" applyFont="1" applyBorder="1" applyAlignment="1">
      <alignment horizontal="center" vertical="center" wrapText="1"/>
    </xf>
    <xf numFmtId="0" fontId="36" fillId="0" borderId="25" xfId="5" applyFont="1" applyBorder="1" applyAlignment="1">
      <alignment horizontal="center" vertical="center" wrapText="1"/>
    </xf>
    <xf numFmtId="0" fontId="36" fillId="0" borderId="19" xfId="5" applyFont="1" applyBorder="1" applyAlignment="1">
      <alignment horizontal="center" vertical="center" wrapText="1"/>
    </xf>
    <xf numFmtId="0" fontId="32" fillId="0" borderId="16" xfId="5" applyFont="1" applyFill="1" applyBorder="1" applyAlignment="1">
      <alignment horizontal="center" vertical="center" wrapText="1"/>
    </xf>
    <xf numFmtId="0" fontId="32" fillId="0" borderId="25" xfId="5" applyFont="1" applyFill="1" applyBorder="1" applyAlignment="1">
      <alignment horizontal="center" vertical="center" wrapText="1"/>
    </xf>
    <xf numFmtId="0" fontId="32" fillId="0" borderId="19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/>
    </xf>
    <xf numFmtId="0" fontId="23" fillId="0" borderId="17" xfId="5" applyFont="1" applyFill="1" applyBorder="1" applyAlignment="1">
      <alignment horizontal="center"/>
    </xf>
    <xf numFmtId="0" fontId="23" fillId="2" borderId="0" xfId="5" applyFont="1" applyFill="1" applyBorder="1" applyAlignment="1">
      <alignment horizontal="right"/>
    </xf>
    <xf numFmtId="0" fontId="29" fillId="2" borderId="1" xfId="5" applyFont="1" applyFill="1" applyBorder="1" applyAlignment="1">
      <alignment horizontal="center" vertical="center" wrapText="1"/>
    </xf>
    <xf numFmtId="0" fontId="32" fillId="2" borderId="16" xfId="5" applyFont="1" applyFill="1" applyBorder="1" applyAlignment="1">
      <alignment horizontal="center" vertical="center" wrapText="1"/>
    </xf>
    <xf numFmtId="0" fontId="32" fillId="2" borderId="25" xfId="5" applyFont="1" applyFill="1" applyBorder="1" applyAlignment="1">
      <alignment horizontal="center" vertical="center" wrapText="1"/>
    </xf>
    <xf numFmtId="0" fontId="32" fillId="2" borderId="19" xfId="5" applyFont="1" applyFill="1" applyBorder="1" applyAlignment="1">
      <alignment horizontal="center" vertical="center" wrapText="1"/>
    </xf>
    <xf numFmtId="0" fontId="29" fillId="2" borderId="16" xfId="5" applyFont="1" applyFill="1" applyBorder="1" applyAlignment="1">
      <alignment horizontal="center" vertical="center" wrapText="1"/>
    </xf>
    <xf numFmtId="0" fontId="29" fillId="2" borderId="25" xfId="5" applyFont="1" applyFill="1" applyBorder="1" applyAlignment="1">
      <alignment horizontal="center" vertical="center" wrapText="1"/>
    </xf>
    <xf numFmtId="0" fontId="29" fillId="2" borderId="19" xfId="5" applyFont="1" applyFill="1" applyBorder="1" applyAlignment="1">
      <alignment horizontal="center" vertical="center" wrapText="1"/>
    </xf>
    <xf numFmtId="0" fontId="32" fillId="2" borderId="16" xfId="5" applyFont="1" applyFill="1" applyBorder="1" applyAlignment="1">
      <alignment horizontal="center" vertical="center"/>
    </xf>
    <xf numFmtId="0" fontId="32" fillId="2" borderId="25" xfId="5" applyFont="1" applyFill="1" applyBorder="1" applyAlignment="1">
      <alignment horizontal="center" vertical="center"/>
    </xf>
    <xf numFmtId="0" fontId="32" fillId="2" borderId="19" xfId="5" applyFont="1" applyFill="1" applyBorder="1" applyAlignment="1">
      <alignment horizontal="center" vertical="center"/>
    </xf>
    <xf numFmtId="0" fontId="32" fillId="2" borderId="1" xfId="5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wrapText="1"/>
    </xf>
    <xf numFmtId="0" fontId="10" fillId="0" borderId="3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2" fillId="0" borderId="0" xfId="3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6" xfId="8" applyFont="1" applyFill="1" applyBorder="1" applyAlignment="1">
      <alignment horizontal="center" vertical="center" wrapText="1"/>
    </xf>
    <xf numFmtId="0" fontId="47" fillId="0" borderId="25" xfId="8" applyFont="1" applyFill="1" applyBorder="1" applyAlignment="1">
      <alignment horizontal="center" vertical="center" wrapText="1"/>
    </xf>
    <xf numFmtId="0" fontId="47" fillId="0" borderId="19" xfId="8" applyFont="1" applyFill="1" applyBorder="1" applyAlignment="1">
      <alignment horizontal="center" vertical="center" wrapText="1"/>
    </xf>
    <xf numFmtId="0" fontId="31" fillId="0" borderId="1" xfId="8" applyFont="1" applyBorder="1" applyAlignment="1">
      <alignment horizontal="center" vertical="center" wrapText="1"/>
    </xf>
    <xf numFmtId="0" fontId="31" fillId="0" borderId="43" xfId="8" applyFont="1" applyBorder="1" applyAlignment="1">
      <alignment horizontal="center" vertical="center" wrapText="1"/>
    </xf>
    <xf numFmtId="0" fontId="39" fillId="0" borderId="38" xfId="8" applyFont="1" applyBorder="1" applyAlignment="1">
      <alignment horizontal="right" vertical="center" wrapText="1"/>
    </xf>
    <xf numFmtId="0" fontId="39" fillId="0" borderId="39" xfId="8" applyFont="1" applyBorder="1" applyAlignment="1">
      <alignment horizontal="right" vertical="center" wrapText="1"/>
    </xf>
    <xf numFmtId="0" fontId="31" fillId="2" borderId="16" xfId="8" applyFont="1" applyFill="1" applyBorder="1" applyAlignment="1">
      <alignment horizontal="center" vertical="center" wrapText="1"/>
    </xf>
    <xf numFmtId="0" fontId="31" fillId="2" borderId="25" xfId="8" applyFont="1" applyFill="1" applyBorder="1" applyAlignment="1">
      <alignment vertical="center"/>
    </xf>
    <xf numFmtId="0" fontId="31" fillId="2" borderId="19" xfId="8" applyFont="1" applyFill="1" applyBorder="1" applyAlignment="1">
      <alignment vertical="center"/>
    </xf>
    <xf numFmtId="0" fontId="31" fillId="2" borderId="16" xfId="8" applyFont="1" applyFill="1" applyBorder="1" applyAlignment="1">
      <alignment horizontal="center"/>
    </xf>
    <xf numFmtId="0" fontId="31" fillId="2" borderId="25" xfId="8" applyFont="1" applyFill="1" applyBorder="1" applyAlignment="1">
      <alignment horizontal="center"/>
    </xf>
    <xf numFmtId="0" fontId="31" fillId="2" borderId="19" xfId="8" applyFont="1" applyFill="1" applyBorder="1" applyAlignment="1">
      <alignment horizontal="center"/>
    </xf>
    <xf numFmtId="0" fontId="12" fillId="0" borderId="16" xfId="9" applyFont="1" applyBorder="1" applyAlignment="1">
      <alignment horizontal="left" vertical="center" wrapText="1"/>
    </xf>
    <xf numFmtId="0" fontId="12" fillId="0" borderId="19" xfId="9" applyFont="1" applyBorder="1" applyAlignment="1">
      <alignment horizontal="left" vertical="center"/>
    </xf>
    <xf numFmtId="0" fontId="12" fillId="0" borderId="16" xfId="9" applyFont="1" applyBorder="1" applyAlignment="1">
      <alignment horizontal="left" vertical="center"/>
    </xf>
    <xf numFmtId="0" fontId="10" fillId="0" borderId="1" xfId="9" applyFont="1" applyBorder="1" applyAlignment="1">
      <alignment horizontal="center" vertical="center" wrapText="1"/>
    </xf>
    <xf numFmtId="0" fontId="12" fillId="0" borderId="1" xfId="9" applyFont="1" applyBorder="1" applyAlignment="1">
      <alignment vertical="center"/>
    </xf>
    <xf numFmtId="14" fontId="12" fillId="0" borderId="16" xfId="9" applyNumberFormat="1" applyFont="1" applyBorder="1" applyAlignment="1">
      <alignment vertical="center" wrapText="1"/>
    </xf>
    <xf numFmtId="14" fontId="12" fillId="0" borderId="19" xfId="9" applyNumberFormat="1" applyFont="1" applyBorder="1" applyAlignment="1">
      <alignment vertical="center"/>
    </xf>
    <xf numFmtId="14" fontId="12" fillId="0" borderId="1" xfId="9" applyNumberFormat="1" applyFont="1" applyBorder="1" applyAlignment="1">
      <alignment horizontal="left" vertical="center" wrapText="1"/>
    </xf>
    <xf numFmtId="165" fontId="12" fillId="0" borderId="16" xfId="9" applyNumberFormat="1" applyFont="1" applyBorder="1" applyAlignment="1">
      <alignment vertical="center"/>
    </xf>
    <xf numFmtId="165" fontId="12" fillId="0" borderId="25" xfId="9" applyNumberFormat="1" applyFont="1" applyBorder="1" applyAlignment="1">
      <alignment vertical="center"/>
    </xf>
    <xf numFmtId="165" fontId="12" fillId="0" borderId="19" xfId="9" applyNumberFormat="1" applyFont="1" applyBorder="1" applyAlignment="1">
      <alignment vertical="center"/>
    </xf>
    <xf numFmtId="0" fontId="54" fillId="0" borderId="0" xfId="11" applyFont="1" applyBorder="1" applyAlignment="1">
      <alignment horizontal="center"/>
    </xf>
    <xf numFmtId="0" fontId="54" fillId="0" borderId="0" xfId="11" applyFont="1" applyAlignment="1">
      <alignment horizontal="center"/>
    </xf>
    <xf numFmtId="3" fontId="54" fillId="0" borderId="16" xfId="11" applyNumberFormat="1" applyFont="1" applyBorder="1" applyAlignment="1">
      <alignment horizontal="center"/>
    </xf>
    <xf numFmtId="3" fontId="54" fillId="0" borderId="19" xfId="11" applyNumberFormat="1" applyFont="1" applyBorder="1" applyAlignment="1">
      <alignment horizontal="center"/>
    </xf>
    <xf numFmtId="49" fontId="54" fillId="0" borderId="0" xfId="11" applyNumberFormat="1" applyFont="1" applyFill="1" applyBorder="1" applyAlignment="1">
      <alignment horizontal="center" wrapText="1"/>
    </xf>
    <xf numFmtId="49" fontId="54" fillId="0" borderId="0" xfId="11" applyNumberFormat="1" applyFont="1" applyFill="1" applyBorder="1" applyAlignment="1">
      <alignment horizontal="center"/>
    </xf>
    <xf numFmtId="0" fontId="31" fillId="0" borderId="0" xfId="19" applyFont="1" applyFill="1" applyAlignment="1">
      <alignment horizontal="center" vertical="center" wrapText="1"/>
    </xf>
    <xf numFmtId="3" fontId="38" fillId="0" borderId="17" xfId="19" applyNumberFormat="1" applyFont="1" applyFill="1" applyBorder="1" applyAlignment="1">
      <alignment horizontal="center" vertical="center"/>
    </xf>
  </cellXfs>
  <cellStyles count="20">
    <cellStyle name="Ezres 2" xfId="2"/>
    <cellStyle name="Ezres 2 2" xfId="7"/>
    <cellStyle name="Ezres 2 3" xfId="12"/>
    <cellStyle name="Ezres 3" xfId="6"/>
    <cellStyle name="Ezres 3 2" xfId="13"/>
    <cellStyle name="Ezres 3 3" xfId="10"/>
    <cellStyle name="Ezres 3 4" xfId="14"/>
    <cellStyle name="Normál" xfId="0" builtinId="0"/>
    <cellStyle name="Normál 2" xfId="1"/>
    <cellStyle name="Normál 2 2" xfId="15"/>
    <cellStyle name="Normál 2 3" xfId="16"/>
    <cellStyle name="Normál 3" xfId="3"/>
    <cellStyle name="Normál 4" xfId="5"/>
    <cellStyle name="Normál 4 2" xfId="17"/>
    <cellStyle name="Normál 4 3" xfId="11"/>
    <cellStyle name="Normál 4 4" xfId="18"/>
    <cellStyle name="Normál 5" xfId="8"/>
    <cellStyle name="Normál 6" xfId="9"/>
    <cellStyle name="Normál 6 2" xfId="19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7"/>
  <sheetViews>
    <sheetView view="pageBreakPreview" zoomScaleNormal="100" zoomScaleSheetLayoutView="100" workbookViewId="0">
      <selection activeCell="C11" sqref="C11"/>
    </sheetView>
  </sheetViews>
  <sheetFormatPr defaultRowHeight="15.75" x14ac:dyDescent="0.25"/>
  <cols>
    <col min="1" max="1" width="9.140625" style="2"/>
    <col min="2" max="2" width="8.7109375" style="12" customWidth="1"/>
    <col min="3" max="3" width="60.42578125" style="2" customWidth="1"/>
    <col min="4" max="4" width="17.28515625" style="156" customWidth="1"/>
    <col min="5" max="5" width="16.5703125" style="2" customWidth="1"/>
    <col min="6" max="6" width="14.28515625" style="493" bestFit="1" customWidth="1"/>
    <col min="7" max="7" width="9.5703125" style="321" bestFit="1" customWidth="1"/>
    <col min="8" max="16384" width="9.140625" style="2"/>
  </cols>
  <sheetData>
    <row r="1" spans="1:7" x14ac:dyDescent="0.25">
      <c r="B1" s="819" t="s">
        <v>1014</v>
      </c>
      <c r="C1" s="819"/>
      <c r="D1" s="819"/>
      <c r="E1" s="819"/>
    </row>
    <row r="2" spans="1:7" s="1" customFormat="1" x14ac:dyDescent="0.25">
      <c r="A2" s="818" t="s">
        <v>0</v>
      </c>
      <c r="B2" s="818"/>
      <c r="C2" s="818"/>
      <c r="D2" s="818"/>
      <c r="E2" s="818"/>
      <c r="F2" s="818"/>
      <c r="G2" s="818"/>
    </row>
    <row r="3" spans="1:7" s="1" customFormat="1" x14ac:dyDescent="0.25">
      <c r="A3" s="818" t="s">
        <v>389</v>
      </c>
      <c r="B3" s="818"/>
      <c r="C3" s="818"/>
      <c r="D3" s="818"/>
      <c r="E3" s="818"/>
      <c r="F3" s="818"/>
      <c r="G3" s="818"/>
    </row>
    <row r="4" spans="1:7" s="1" customFormat="1" x14ac:dyDescent="0.25">
      <c r="A4" s="818" t="s">
        <v>545</v>
      </c>
      <c r="B4" s="818"/>
      <c r="C4" s="818"/>
      <c r="D4" s="818"/>
      <c r="E4" s="818"/>
      <c r="F4" s="818"/>
      <c r="G4" s="818"/>
    </row>
    <row r="5" spans="1:7" s="1" customFormat="1" x14ac:dyDescent="0.25">
      <c r="A5" s="818" t="s">
        <v>1</v>
      </c>
      <c r="B5" s="818"/>
      <c r="C5" s="818"/>
      <c r="D5" s="818"/>
      <c r="E5" s="818"/>
      <c r="F5" s="818"/>
      <c r="G5" s="818"/>
    </row>
    <row r="6" spans="1:7" s="1" customFormat="1" ht="16.5" thickBot="1" x14ac:dyDescent="0.3">
      <c r="B6" s="18" t="s">
        <v>87</v>
      </c>
      <c r="D6" s="151"/>
      <c r="F6" s="494"/>
      <c r="G6" s="324"/>
    </row>
    <row r="7" spans="1:7" s="3" customFormat="1" ht="16.5" thickBot="1" x14ac:dyDescent="0.3">
      <c r="A7" s="166"/>
      <c r="B7" s="5">
        <v>1</v>
      </c>
      <c r="C7" s="6">
        <v>2</v>
      </c>
      <c r="D7" s="190">
        <v>3</v>
      </c>
      <c r="E7" s="234">
        <v>4</v>
      </c>
      <c r="F7" s="495">
        <v>5</v>
      </c>
      <c r="G7" s="325">
        <v>6</v>
      </c>
    </row>
    <row r="8" spans="1:7" s="1" customFormat="1" ht="32.25" thickBot="1" x14ac:dyDescent="0.3">
      <c r="B8" s="7" t="s">
        <v>4</v>
      </c>
      <c r="C8" s="6" t="s">
        <v>2</v>
      </c>
      <c r="D8" s="198" t="s">
        <v>390</v>
      </c>
      <c r="E8" s="235" t="s">
        <v>391</v>
      </c>
      <c r="F8" s="323" t="s">
        <v>392</v>
      </c>
      <c r="G8" s="327" t="s">
        <v>393</v>
      </c>
    </row>
    <row r="9" spans="1:7" s="1" customFormat="1" ht="16.5" thickBot="1" x14ac:dyDescent="0.3">
      <c r="B9" s="14" t="s">
        <v>3</v>
      </c>
      <c r="C9" s="177" t="s">
        <v>16</v>
      </c>
      <c r="D9" s="158">
        <f>SUM(D10:D15)</f>
        <v>299157.57900000003</v>
      </c>
      <c r="E9" s="200">
        <f>SUM(E10:E15)</f>
        <v>333402.36299999995</v>
      </c>
      <c r="F9" s="249">
        <f t="shared" ref="F9" si="0">SUM(F10:F15)</f>
        <v>333402.36299999995</v>
      </c>
      <c r="G9" s="329">
        <f>F9/E9</f>
        <v>1</v>
      </c>
    </row>
    <row r="10" spans="1:7" x14ac:dyDescent="0.25">
      <c r="B10" s="15" t="s">
        <v>6</v>
      </c>
      <c r="C10" s="8" t="s">
        <v>30</v>
      </c>
      <c r="D10" s="192">
        <v>102239.09</v>
      </c>
      <c r="E10" s="236">
        <v>102362.554</v>
      </c>
      <c r="F10" s="250">
        <v>102362.554</v>
      </c>
      <c r="G10" s="328">
        <f t="shared" ref="G10:G49" si="1">F10/E10</f>
        <v>1</v>
      </c>
    </row>
    <row r="11" spans="1:7" x14ac:dyDescent="0.25">
      <c r="B11" s="16" t="s">
        <v>7</v>
      </c>
      <c r="C11" s="4" t="s">
        <v>31</v>
      </c>
      <c r="D11" s="193">
        <v>72321.217999999993</v>
      </c>
      <c r="E11" s="193">
        <v>74428.417000000001</v>
      </c>
      <c r="F11" s="250">
        <v>74428.417000000001</v>
      </c>
      <c r="G11" s="321">
        <f t="shared" si="1"/>
        <v>1</v>
      </c>
    </row>
    <row r="12" spans="1:7" x14ac:dyDescent="0.25">
      <c r="B12" s="16" t="s">
        <v>8</v>
      </c>
      <c r="C12" s="4" t="s">
        <v>316</v>
      </c>
      <c r="D12" s="193">
        <v>120196.501</v>
      </c>
      <c r="E12" s="193">
        <v>130912.764</v>
      </c>
      <c r="F12" s="250">
        <v>130912.764</v>
      </c>
      <c r="G12" s="321">
        <f t="shared" si="1"/>
        <v>1</v>
      </c>
    </row>
    <row r="13" spans="1:7" x14ac:dyDescent="0.25">
      <c r="B13" s="16" t="s">
        <v>9</v>
      </c>
      <c r="C13" s="4" t="s">
        <v>33</v>
      </c>
      <c r="D13" s="193">
        <v>4400.7700000000004</v>
      </c>
      <c r="E13" s="193">
        <v>5529.91</v>
      </c>
      <c r="F13" s="250">
        <v>5529.91</v>
      </c>
      <c r="G13" s="321">
        <f t="shared" si="1"/>
        <v>1</v>
      </c>
    </row>
    <row r="14" spans="1:7" x14ac:dyDescent="0.25">
      <c r="B14" s="16" t="s">
        <v>10</v>
      </c>
      <c r="C14" s="4" t="s">
        <v>34</v>
      </c>
      <c r="D14" s="193"/>
      <c r="E14" s="193">
        <v>20168.718000000001</v>
      </c>
      <c r="F14" s="250">
        <v>20168.718000000001</v>
      </c>
      <c r="G14" s="321">
        <f t="shared" si="1"/>
        <v>1</v>
      </c>
    </row>
    <row r="15" spans="1:7" ht="16.5" thickBot="1" x14ac:dyDescent="0.3">
      <c r="B15" s="17" t="s">
        <v>11</v>
      </c>
      <c r="C15" s="10" t="s">
        <v>358</v>
      </c>
      <c r="D15" s="194"/>
      <c r="E15" s="237"/>
      <c r="F15" s="250"/>
      <c r="G15" s="330"/>
    </row>
    <row r="16" spans="1:7" s="1" customFormat="1" ht="16.5" thickBot="1" x14ac:dyDescent="0.3">
      <c r="B16" s="14" t="s">
        <v>5</v>
      </c>
      <c r="C16" s="9" t="s">
        <v>39</v>
      </c>
      <c r="D16" s="191">
        <f>SUM(D17:D18)</f>
        <v>148870</v>
      </c>
      <c r="E16" s="200">
        <f>SUM(E17:E18)</f>
        <v>181692.71799999999</v>
      </c>
      <c r="F16" s="249">
        <f t="shared" ref="F16" si="2">SUM(F17:F18)</f>
        <v>173175.967</v>
      </c>
      <c r="G16" s="329">
        <f t="shared" si="1"/>
        <v>0.95312552372076909</v>
      </c>
    </row>
    <row r="17" spans="2:7" x14ac:dyDescent="0.25">
      <c r="B17" s="15" t="s">
        <v>12</v>
      </c>
      <c r="C17" s="8" t="s">
        <v>36</v>
      </c>
      <c r="D17" s="192"/>
      <c r="E17" s="237"/>
      <c r="F17" s="250"/>
      <c r="G17" s="326"/>
    </row>
    <row r="18" spans="2:7" x14ac:dyDescent="0.25">
      <c r="B18" s="16" t="s">
        <v>13</v>
      </c>
      <c r="C18" s="4" t="s">
        <v>497</v>
      </c>
      <c r="D18" s="193">
        <v>148870</v>
      </c>
      <c r="E18" s="193">
        <v>181692.71799999999</v>
      </c>
      <c r="F18" s="250">
        <v>173175.967</v>
      </c>
      <c r="G18" s="321">
        <f t="shared" si="1"/>
        <v>0.95312552372076909</v>
      </c>
    </row>
    <row r="19" spans="2:7" ht="16.5" thickBot="1" x14ac:dyDescent="0.3">
      <c r="B19" s="17" t="s">
        <v>14</v>
      </c>
      <c r="C19" s="10" t="s">
        <v>38</v>
      </c>
      <c r="D19" s="194">
        <v>42772</v>
      </c>
      <c r="E19" s="193">
        <f>40780.508+15157.98</f>
        <v>55938.487999999998</v>
      </c>
      <c r="F19" s="250">
        <f>40095.388+15157.98</f>
        <v>55253.368000000002</v>
      </c>
      <c r="G19" s="331">
        <f t="shared" si="1"/>
        <v>0.9877522610192826</v>
      </c>
    </row>
    <row r="20" spans="2:7" s="1" customFormat="1" ht="16.5" thickBot="1" x14ac:dyDescent="0.3">
      <c r="B20" s="14" t="s">
        <v>15</v>
      </c>
      <c r="C20" s="9" t="s">
        <v>43</v>
      </c>
      <c r="D20" s="191">
        <f>SUM(D21:D22)</f>
        <v>322909</v>
      </c>
      <c r="E20" s="238">
        <f>SUM(E21:E22)</f>
        <v>315726.55499999999</v>
      </c>
      <c r="F20" s="496">
        <f>SUM(F21:F22)</f>
        <v>223437.245</v>
      </c>
      <c r="G20" s="329">
        <f t="shared" si="1"/>
        <v>0.70769227821207503</v>
      </c>
    </row>
    <row r="21" spans="2:7" x14ac:dyDescent="0.25">
      <c r="B21" s="15" t="s">
        <v>17</v>
      </c>
      <c r="C21" s="8" t="s">
        <v>40</v>
      </c>
      <c r="D21" s="192">
        <v>15000</v>
      </c>
      <c r="E21" s="193">
        <v>15000</v>
      </c>
      <c r="F21" s="250">
        <v>15000</v>
      </c>
      <c r="G21" s="328">
        <f t="shared" si="1"/>
        <v>1</v>
      </c>
    </row>
    <row r="22" spans="2:7" x14ac:dyDescent="0.25">
      <c r="B22" s="16" t="s">
        <v>18</v>
      </c>
      <c r="C22" s="4" t="s">
        <v>41</v>
      </c>
      <c r="D22" s="193">
        <v>307909</v>
      </c>
      <c r="E22" s="193">
        <v>300726.55499999999</v>
      </c>
      <c r="F22" s="250">
        <v>208437.245</v>
      </c>
      <c r="G22" s="321">
        <f t="shared" si="1"/>
        <v>0.69311220287812625</v>
      </c>
    </row>
    <row r="23" spans="2:7" ht="16.5" thickBot="1" x14ac:dyDescent="0.3">
      <c r="B23" s="17" t="s">
        <v>19</v>
      </c>
      <c r="C23" s="10" t="s">
        <v>42</v>
      </c>
      <c r="D23" s="194">
        <v>307909</v>
      </c>
      <c r="E23" s="239">
        <v>299398.55499999999</v>
      </c>
      <c r="F23" s="250">
        <v>207109.965</v>
      </c>
      <c r="G23" s="331">
        <f t="shared" si="1"/>
        <v>0.6917533887229349</v>
      </c>
    </row>
    <row r="24" spans="2:7" s="1" customFormat="1" ht="16.5" thickBot="1" x14ac:dyDescent="0.3">
      <c r="B24" s="14" t="s">
        <v>20</v>
      </c>
      <c r="C24" s="9" t="s">
        <v>21</v>
      </c>
      <c r="D24" s="191">
        <f>D25+D28+D29+D30</f>
        <v>102821</v>
      </c>
      <c r="E24" s="200">
        <f>E25+E28+E29+E30</f>
        <v>114533.88799999999</v>
      </c>
      <c r="F24" s="249">
        <f>F25+F28+F29+F30</f>
        <v>114533.37999999999</v>
      </c>
      <c r="G24" s="329">
        <f t="shared" si="1"/>
        <v>0.99999556463149142</v>
      </c>
    </row>
    <row r="25" spans="2:7" x14ac:dyDescent="0.25">
      <c r="B25" s="15" t="s">
        <v>22</v>
      </c>
      <c r="C25" s="8" t="s">
        <v>44</v>
      </c>
      <c r="D25" s="192">
        <f>D26+D27</f>
        <v>91027</v>
      </c>
      <c r="E25" s="192">
        <f>E26+E27</f>
        <v>102121.088</v>
      </c>
      <c r="F25" s="251">
        <f>F26+F27</f>
        <v>102121.03599999999</v>
      </c>
      <c r="G25" s="328">
        <f t="shared" si="1"/>
        <v>0.99999949080056794</v>
      </c>
    </row>
    <row r="26" spans="2:7" x14ac:dyDescent="0.25">
      <c r="B26" s="16" t="s">
        <v>23</v>
      </c>
      <c r="C26" s="4" t="s">
        <v>45</v>
      </c>
      <c r="D26" s="193">
        <v>44</v>
      </c>
      <c r="E26" s="193">
        <v>90.1</v>
      </c>
      <c r="F26" s="250">
        <v>90.048000000000002</v>
      </c>
      <c r="G26" s="321">
        <f t="shared" si="1"/>
        <v>0.99942286348501674</v>
      </c>
    </row>
    <row r="27" spans="2:7" x14ac:dyDescent="0.25">
      <c r="B27" s="16" t="s">
        <v>24</v>
      </c>
      <c r="C27" s="4" t="s">
        <v>47</v>
      </c>
      <c r="D27" s="193">
        <v>90983</v>
      </c>
      <c r="E27" s="193">
        <v>102030.988</v>
      </c>
      <c r="F27" s="250">
        <v>102030.988</v>
      </c>
      <c r="G27" s="321">
        <f t="shared" si="1"/>
        <v>1</v>
      </c>
    </row>
    <row r="28" spans="2:7" x14ac:dyDescent="0.25">
      <c r="B28" s="16" t="s">
        <v>26</v>
      </c>
      <c r="C28" s="4" t="s">
        <v>48</v>
      </c>
      <c r="D28" s="193">
        <v>10605</v>
      </c>
      <c r="E28" s="193">
        <v>11024.7</v>
      </c>
      <c r="F28" s="250">
        <v>11024.617</v>
      </c>
      <c r="G28" s="321">
        <f t="shared" si="1"/>
        <v>0.99999247145047021</v>
      </c>
    </row>
    <row r="29" spans="2:7" x14ac:dyDescent="0.25">
      <c r="B29" s="16" t="s">
        <v>27</v>
      </c>
      <c r="C29" s="4" t="s">
        <v>49</v>
      </c>
      <c r="D29" s="193">
        <v>700</v>
      </c>
      <c r="E29" s="193">
        <v>1.4</v>
      </c>
      <c r="F29" s="250">
        <v>1.4</v>
      </c>
      <c r="G29" s="321">
        <f t="shared" si="1"/>
        <v>1</v>
      </c>
    </row>
    <row r="30" spans="2:7" ht="16.5" thickBot="1" x14ac:dyDescent="0.3">
      <c r="B30" s="17" t="s">
        <v>28</v>
      </c>
      <c r="C30" s="10" t="s">
        <v>50</v>
      </c>
      <c r="D30" s="194">
        <v>489</v>
      </c>
      <c r="E30" s="239">
        <v>1386.7</v>
      </c>
      <c r="F30" s="254">
        <v>1386.327</v>
      </c>
      <c r="G30" s="331">
        <f t="shared" si="1"/>
        <v>0.99973101608134418</v>
      </c>
    </row>
    <row r="31" spans="2:7" s="1" customFormat="1" ht="16.5" thickBot="1" x14ac:dyDescent="0.3">
      <c r="B31" s="14" t="s">
        <v>29</v>
      </c>
      <c r="C31" s="9" t="s">
        <v>51</v>
      </c>
      <c r="D31" s="191">
        <v>61573.3</v>
      </c>
      <c r="E31" s="200">
        <v>69495.903999999995</v>
      </c>
      <c r="F31" s="389">
        <v>69031.592000000004</v>
      </c>
      <c r="G31" s="329">
        <f t="shared" si="1"/>
        <v>0.99331885804377784</v>
      </c>
    </row>
    <row r="32" spans="2:7" s="1" customFormat="1" ht="16.5" thickBot="1" x14ac:dyDescent="0.3">
      <c r="B32" s="19" t="s">
        <v>52</v>
      </c>
      <c r="C32" s="20" t="s">
        <v>53</v>
      </c>
      <c r="D32" s="195"/>
      <c r="E32" s="200"/>
      <c r="F32" s="384"/>
      <c r="G32" s="332"/>
    </row>
    <row r="33" spans="2:7" s="1" customFormat="1" ht="16.5" thickBot="1" x14ac:dyDescent="0.3">
      <c r="B33" s="14" t="s">
        <v>54</v>
      </c>
      <c r="C33" s="9" t="s">
        <v>160</v>
      </c>
      <c r="D33" s="191">
        <v>210</v>
      </c>
      <c r="E33" s="200">
        <v>258</v>
      </c>
      <c r="F33" s="389">
        <v>258</v>
      </c>
      <c r="G33" s="329">
        <f t="shared" si="1"/>
        <v>1</v>
      </c>
    </row>
    <row r="34" spans="2:7" s="1" customFormat="1" ht="16.5" thickBot="1" x14ac:dyDescent="0.3">
      <c r="B34" s="14" t="s">
        <v>56</v>
      </c>
      <c r="C34" s="9" t="s">
        <v>57</v>
      </c>
      <c r="D34" s="191"/>
      <c r="E34" s="200"/>
      <c r="F34" s="389"/>
      <c r="G34" s="329"/>
    </row>
    <row r="35" spans="2:7" s="1" customFormat="1" ht="16.5" thickBot="1" x14ac:dyDescent="0.3">
      <c r="B35" s="14" t="s">
        <v>58</v>
      </c>
      <c r="C35" s="9" t="s">
        <v>137</v>
      </c>
      <c r="D35" s="191">
        <f>D9+D16+D20+D24+D31+D32+D33+D34</f>
        <v>935540.87900000007</v>
      </c>
      <c r="E35" s="200">
        <f>E9+E16+E20+E24+E31+E32+E33+E34</f>
        <v>1015109.428</v>
      </c>
      <c r="F35" s="249">
        <f>F9+F16+F20+F24+F31+F32+F33+F34</f>
        <v>913838.54700000002</v>
      </c>
      <c r="G35" s="329">
        <f t="shared" si="1"/>
        <v>0.90023648859263683</v>
      </c>
    </row>
    <row r="36" spans="2:7" s="1" customFormat="1" ht="16.5" thickBot="1" x14ac:dyDescent="0.3">
      <c r="B36" s="14" t="s">
        <v>59</v>
      </c>
      <c r="C36" s="9" t="s">
        <v>60</v>
      </c>
      <c r="D36" s="191">
        <f>SUM(D37:D39)</f>
        <v>0</v>
      </c>
      <c r="E36" s="200">
        <f>SUM(E37:E39)</f>
        <v>37243.444000000003</v>
      </c>
      <c r="F36" s="389">
        <f>SUM(F37:F39)</f>
        <v>37243.444000000003</v>
      </c>
      <c r="G36" s="329">
        <f t="shared" si="1"/>
        <v>1</v>
      </c>
    </row>
    <row r="37" spans="2:7" ht="16.5" thickBot="1" x14ac:dyDescent="0.3">
      <c r="B37" s="15" t="s">
        <v>61</v>
      </c>
      <c r="C37" s="8" t="s">
        <v>62</v>
      </c>
      <c r="D37" s="192"/>
      <c r="E37" s="192">
        <v>37243.444000000003</v>
      </c>
      <c r="F37" s="251">
        <v>37243.444000000003</v>
      </c>
      <c r="G37" s="339">
        <f t="shared" si="1"/>
        <v>1</v>
      </c>
    </row>
    <row r="38" spans="2:7" x14ac:dyDescent="0.25">
      <c r="B38" s="16" t="s">
        <v>63</v>
      </c>
      <c r="C38" s="4" t="s">
        <v>64</v>
      </c>
      <c r="D38" s="193"/>
      <c r="E38" s="237"/>
      <c r="F38" s="250"/>
      <c r="G38" s="324"/>
    </row>
    <row r="39" spans="2:7" ht="16.5" thickBot="1" x14ac:dyDescent="0.3">
      <c r="B39" s="17" t="s">
        <v>65</v>
      </c>
      <c r="C39" s="10" t="s">
        <v>66</v>
      </c>
      <c r="D39" s="194"/>
      <c r="E39" s="240"/>
      <c r="F39" s="254"/>
      <c r="G39" s="330"/>
    </row>
    <row r="40" spans="2:7" s="1" customFormat="1" ht="16.5" thickBot="1" x14ac:dyDescent="0.3">
      <c r="B40" s="14" t="s">
        <v>67</v>
      </c>
      <c r="C40" s="9" t="s">
        <v>68</v>
      </c>
      <c r="D40" s="191"/>
      <c r="E40" s="241"/>
      <c r="F40" s="389"/>
      <c r="G40" s="329"/>
    </row>
    <row r="41" spans="2:7" s="1" customFormat="1" ht="16.5" thickBot="1" x14ac:dyDescent="0.3">
      <c r="B41" s="14" t="s">
        <v>69</v>
      </c>
      <c r="C41" s="9" t="s">
        <v>70</v>
      </c>
      <c r="D41" s="191">
        <v>457973.75300000003</v>
      </c>
      <c r="E41" s="200">
        <v>464614.65600000002</v>
      </c>
      <c r="F41" s="384">
        <v>464614.65600000002</v>
      </c>
      <c r="G41" s="329">
        <f t="shared" si="1"/>
        <v>1</v>
      </c>
    </row>
    <row r="42" spans="2:7" s="1" customFormat="1" ht="16.5" thickBot="1" x14ac:dyDescent="0.3">
      <c r="B42" s="14" t="s">
        <v>71</v>
      </c>
      <c r="C42" s="9" t="s">
        <v>72</v>
      </c>
      <c r="D42" s="191">
        <f>D43+D44</f>
        <v>0</v>
      </c>
      <c r="E42" s="191">
        <f t="shared" ref="E42:F42" si="3">E43+E44</f>
        <v>10031.323</v>
      </c>
      <c r="F42" s="497">
        <f t="shared" si="3"/>
        <v>10031.323</v>
      </c>
      <c r="G42" s="329">
        <f t="shared" si="1"/>
        <v>1</v>
      </c>
    </row>
    <row r="43" spans="2:7" ht="16.5" thickBot="1" x14ac:dyDescent="0.3">
      <c r="B43" s="15" t="s">
        <v>73</v>
      </c>
      <c r="C43" s="8" t="s">
        <v>74</v>
      </c>
      <c r="D43" s="192"/>
      <c r="E43" s="192">
        <v>10031.323</v>
      </c>
      <c r="F43" s="251">
        <v>10031.323</v>
      </c>
      <c r="G43" s="339">
        <f t="shared" si="1"/>
        <v>1</v>
      </c>
    </row>
    <row r="44" spans="2:7" ht="16.5" thickBot="1" x14ac:dyDescent="0.3">
      <c r="B44" s="17" t="s">
        <v>75</v>
      </c>
      <c r="C44" s="10" t="s">
        <v>76</v>
      </c>
      <c r="D44" s="194"/>
      <c r="E44" s="240"/>
      <c r="F44" s="254"/>
      <c r="G44" s="330"/>
    </row>
    <row r="45" spans="2:7" s="1" customFormat="1" ht="16.5" thickBot="1" x14ac:dyDescent="0.3">
      <c r="B45" s="14" t="s">
        <v>77</v>
      </c>
      <c r="C45" s="9" t="s">
        <v>78</v>
      </c>
      <c r="D45" s="191"/>
      <c r="E45" s="241"/>
      <c r="F45" s="389"/>
      <c r="G45" s="329"/>
    </row>
    <row r="46" spans="2:7" s="1" customFormat="1" ht="16.5" thickBot="1" x14ac:dyDescent="0.3">
      <c r="B46" s="14" t="s">
        <v>79</v>
      </c>
      <c r="C46" s="9" t="s">
        <v>80</v>
      </c>
      <c r="D46" s="191"/>
      <c r="E46" s="241"/>
      <c r="F46" s="389"/>
      <c r="G46" s="329"/>
    </row>
    <row r="47" spans="2:7" s="1" customFormat="1" ht="16.5" thickBot="1" x14ac:dyDescent="0.3">
      <c r="B47" s="14" t="s">
        <v>81</v>
      </c>
      <c r="C47" s="9" t="s">
        <v>82</v>
      </c>
      <c r="D47" s="191"/>
      <c r="E47" s="242"/>
      <c r="F47" s="389"/>
      <c r="G47" s="329"/>
    </row>
    <row r="48" spans="2:7" s="1" customFormat="1" ht="16.5" thickBot="1" x14ac:dyDescent="0.3">
      <c r="B48" s="14" t="s">
        <v>83</v>
      </c>
      <c r="C48" s="9" t="s">
        <v>84</v>
      </c>
      <c r="D48" s="191">
        <f>D36+D40+D41+D42+D45+D46+D47</f>
        <v>457973.75300000003</v>
      </c>
      <c r="E48" s="200">
        <f>E36+E40+E41+E42+E45+E46+E47</f>
        <v>511889.42300000001</v>
      </c>
      <c r="F48" s="249">
        <f>F36+F40+F41+F42+F45+F46+F47</f>
        <v>511889.42300000001</v>
      </c>
      <c r="G48" s="329">
        <f t="shared" si="1"/>
        <v>1</v>
      </c>
    </row>
    <row r="49" spans="1:7" s="1" customFormat="1" ht="32.25" thickBot="1" x14ac:dyDescent="0.3">
      <c r="B49" s="14" t="s">
        <v>85</v>
      </c>
      <c r="C49" s="11" t="s">
        <v>86</v>
      </c>
      <c r="D49" s="191">
        <f>D35+D48</f>
        <v>1393514.6320000002</v>
      </c>
      <c r="E49" s="200">
        <f>E35+E48</f>
        <v>1526998.851</v>
      </c>
      <c r="F49" s="505">
        <f>F35+F48</f>
        <v>1425727.97</v>
      </c>
      <c r="G49" s="329">
        <f t="shared" si="1"/>
        <v>0.93367979227117304</v>
      </c>
    </row>
    <row r="50" spans="1:7" x14ac:dyDescent="0.25">
      <c r="G50" s="320"/>
    </row>
    <row r="51" spans="1:7" x14ac:dyDescent="0.25">
      <c r="A51" s="818" t="s">
        <v>88</v>
      </c>
      <c r="B51" s="818"/>
      <c r="C51" s="818"/>
      <c r="D51" s="818"/>
      <c r="E51" s="818"/>
      <c r="F51" s="818"/>
      <c r="G51" s="818"/>
    </row>
    <row r="52" spans="1:7" ht="16.5" thickBot="1" x14ac:dyDescent="0.3">
      <c r="B52" s="18" t="s">
        <v>89</v>
      </c>
      <c r="C52" s="1"/>
      <c r="D52" s="152"/>
      <c r="G52" s="320"/>
    </row>
    <row r="53" spans="1:7" s="188" customFormat="1" ht="32.25" thickBot="1" x14ac:dyDescent="0.3">
      <c r="B53" s="7" t="s">
        <v>4</v>
      </c>
      <c r="C53" s="6" t="s">
        <v>90</v>
      </c>
      <c r="D53" s="198" t="s">
        <v>390</v>
      </c>
      <c r="E53" s="243" t="s">
        <v>391</v>
      </c>
      <c r="F53" s="333" t="s">
        <v>392</v>
      </c>
      <c r="G53" s="327" t="s">
        <v>393</v>
      </c>
    </row>
    <row r="54" spans="1:7" ht="16.5" thickBot="1" x14ac:dyDescent="0.3">
      <c r="B54" s="14" t="s">
        <v>3</v>
      </c>
      <c r="C54" s="177" t="s">
        <v>385</v>
      </c>
      <c r="D54" s="158">
        <f>D55+D56+D57+D58+D59+D65</f>
        <v>737254.89899999998</v>
      </c>
      <c r="E54" s="200">
        <f>E55+E56+E57+E58+E59+E65</f>
        <v>876754.02199999988</v>
      </c>
      <c r="F54" s="249">
        <f>F55+F56+F57+F58+F59+F65</f>
        <v>688046.96799999988</v>
      </c>
      <c r="G54" s="329">
        <f>F54/E54</f>
        <v>0.784766252261344</v>
      </c>
    </row>
    <row r="55" spans="1:7" x14ac:dyDescent="0.25">
      <c r="B55" s="21" t="s">
        <v>6</v>
      </c>
      <c r="C55" s="8" t="s">
        <v>91</v>
      </c>
      <c r="D55" s="192">
        <v>351579</v>
      </c>
      <c r="E55" s="193">
        <v>386649.886</v>
      </c>
      <c r="F55" s="250">
        <v>352239.31099999999</v>
      </c>
      <c r="G55" s="328">
        <f t="shared" ref="G55:G88" si="4">F55/E55</f>
        <v>0.91100327131610737</v>
      </c>
    </row>
    <row r="56" spans="1:7" x14ac:dyDescent="0.25">
      <c r="B56" s="22" t="s">
        <v>7</v>
      </c>
      <c r="C56" s="4" t="s">
        <v>92</v>
      </c>
      <c r="D56" s="193">
        <v>62543.8</v>
      </c>
      <c r="E56" s="193">
        <v>70354.229000000007</v>
      </c>
      <c r="F56" s="250">
        <v>62803.442999999999</v>
      </c>
      <c r="G56" s="328">
        <f t="shared" si="4"/>
        <v>0.89267473885613891</v>
      </c>
    </row>
    <row r="57" spans="1:7" x14ac:dyDescent="0.25">
      <c r="B57" s="22" t="s">
        <v>8</v>
      </c>
      <c r="C57" s="4" t="s">
        <v>93</v>
      </c>
      <c r="D57" s="193">
        <v>257135.7</v>
      </c>
      <c r="E57" s="193">
        <v>297994.76699999999</v>
      </c>
      <c r="F57" s="250">
        <v>230176.66899999999</v>
      </c>
      <c r="G57" s="328">
        <f t="shared" si="4"/>
        <v>0.77241849350998837</v>
      </c>
    </row>
    <row r="58" spans="1:7" x14ac:dyDescent="0.25">
      <c r="B58" s="22" t="s">
        <v>9</v>
      </c>
      <c r="C58" s="4" t="s">
        <v>94</v>
      </c>
      <c r="D58" s="193">
        <v>5400</v>
      </c>
      <c r="E58" s="193">
        <v>12403.72</v>
      </c>
      <c r="F58" s="250">
        <v>9987.6949999999997</v>
      </c>
      <c r="G58" s="328">
        <f t="shared" si="4"/>
        <v>0.80521770888088418</v>
      </c>
    </row>
    <row r="59" spans="1:7" x14ac:dyDescent="0.25">
      <c r="B59" s="22" t="s">
        <v>10</v>
      </c>
      <c r="C59" s="4" t="s">
        <v>95</v>
      </c>
      <c r="D59" s="193">
        <f>SUM(D60:D64)</f>
        <v>34490.1</v>
      </c>
      <c r="E59" s="193">
        <f>SUM(E60:E64)</f>
        <v>33168.845000000001</v>
      </c>
      <c r="F59" s="250">
        <f>SUM(F60:F64)</f>
        <v>32839.85</v>
      </c>
      <c r="G59" s="328">
        <f t="shared" si="4"/>
        <v>0.9900812042143764</v>
      </c>
    </row>
    <row r="60" spans="1:7" x14ac:dyDescent="0.25">
      <c r="B60" s="22" t="s">
        <v>378</v>
      </c>
      <c r="C60" s="23" t="s">
        <v>96</v>
      </c>
      <c r="D60" s="193">
        <v>3000</v>
      </c>
      <c r="E60" s="193">
        <v>3000</v>
      </c>
      <c r="F60" s="250">
        <v>2705.4119999999998</v>
      </c>
      <c r="G60" s="328">
        <f t="shared" si="4"/>
        <v>0.90180399999999994</v>
      </c>
    </row>
    <row r="61" spans="1:7" x14ac:dyDescent="0.25">
      <c r="B61" s="22" t="s">
        <v>379</v>
      </c>
      <c r="C61" s="4" t="s">
        <v>103</v>
      </c>
      <c r="D61" s="193"/>
      <c r="E61" s="193"/>
      <c r="F61" s="250"/>
      <c r="G61" s="328"/>
    </row>
    <row r="62" spans="1:7" x14ac:dyDescent="0.25">
      <c r="B62" s="22" t="s">
        <v>380</v>
      </c>
      <c r="C62" s="4" t="s">
        <v>138</v>
      </c>
      <c r="D62" s="193"/>
      <c r="E62" s="193"/>
      <c r="F62" s="250"/>
      <c r="G62" s="328"/>
    </row>
    <row r="63" spans="1:7" x14ac:dyDescent="0.25">
      <c r="B63" s="22" t="s">
        <v>381</v>
      </c>
      <c r="C63" s="4" t="s">
        <v>139</v>
      </c>
      <c r="D63" s="193">
        <v>4378</v>
      </c>
      <c r="E63" s="193">
        <v>4379.2</v>
      </c>
      <c r="F63" s="250">
        <f>500+2902.491+956.119</f>
        <v>4358.6099999999997</v>
      </c>
      <c r="G63" s="328">
        <f t="shared" si="4"/>
        <v>0.99529822798684686</v>
      </c>
    </row>
    <row r="64" spans="1:7" x14ac:dyDescent="0.25">
      <c r="B64" s="22" t="s">
        <v>382</v>
      </c>
      <c r="C64" s="4" t="s">
        <v>140</v>
      </c>
      <c r="D64" s="193">
        <v>27112.1</v>
      </c>
      <c r="E64" s="193">
        <v>25789.645</v>
      </c>
      <c r="F64" s="250">
        <v>25775.828000000001</v>
      </c>
      <c r="G64" s="328">
        <f t="shared" si="4"/>
        <v>0.99946424233447184</v>
      </c>
    </row>
    <row r="65" spans="2:7" x14ac:dyDescent="0.25">
      <c r="B65" s="22" t="s">
        <v>11</v>
      </c>
      <c r="C65" s="4" t="s">
        <v>102</v>
      </c>
      <c r="D65" s="193">
        <f>SUM(D66:D67)</f>
        <v>26106.298999999999</v>
      </c>
      <c r="E65" s="193">
        <f>SUM(E66:E67)</f>
        <v>76182.574999999997</v>
      </c>
      <c r="F65" s="193"/>
      <c r="G65" s="328">
        <f t="shared" si="4"/>
        <v>0</v>
      </c>
    </row>
    <row r="66" spans="2:7" x14ac:dyDescent="0.25">
      <c r="B66" s="22" t="s">
        <v>383</v>
      </c>
      <c r="C66" s="4" t="s">
        <v>105</v>
      </c>
      <c r="D66" s="193">
        <v>10951.066999999999</v>
      </c>
      <c r="E66" s="193">
        <v>56724.343999999997</v>
      </c>
      <c r="F66" s="250"/>
      <c r="G66" s="328">
        <f t="shared" si="4"/>
        <v>0</v>
      </c>
    </row>
    <row r="67" spans="2:7" ht="16.5" thickBot="1" x14ac:dyDescent="0.3">
      <c r="B67" s="25" t="s">
        <v>384</v>
      </c>
      <c r="C67" s="10" t="s">
        <v>107</v>
      </c>
      <c r="D67" s="194">
        <v>15155.232</v>
      </c>
      <c r="E67" s="193">
        <v>19458.231</v>
      </c>
      <c r="F67" s="250"/>
      <c r="G67" s="338">
        <f t="shared" si="4"/>
        <v>0</v>
      </c>
    </row>
    <row r="68" spans="2:7" ht="16.5" thickBot="1" x14ac:dyDescent="0.3">
      <c r="B68" s="14" t="s">
        <v>5</v>
      </c>
      <c r="C68" s="177" t="s">
        <v>121</v>
      </c>
      <c r="D68" s="158">
        <f>D69+D71+D73</f>
        <v>645332</v>
      </c>
      <c r="E68" s="200">
        <f>E69+E71+E73</f>
        <v>639317.09600000002</v>
      </c>
      <c r="F68" s="249">
        <f>F69+F71+F73</f>
        <v>43854.653999999995</v>
      </c>
      <c r="G68" s="329">
        <f t="shared" si="4"/>
        <v>6.8596091476959331E-2</v>
      </c>
    </row>
    <row r="69" spans="2:7" x14ac:dyDescent="0.25">
      <c r="B69" s="21" t="s">
        <v>12</v>
      </c>
      <c r="C69" s="8" t="s">
        <v>109</v>
      </c>
      <c r="D69" s="192">
        <v>622689</v>
      </c>
      <c r="E69" s="193">
        <v>611460.78399999999</v>
      </c>
      <c r="F69" s="250">
        <v>18743.154999999999</v>
      </c>
      <c r="G69" s="328">
        <f t="shared" si="4"/>
        <v>3.0653077826819388E-2</v>
      </c>
    </row>
    <row r="70" spans="2:7" x14ac:dyDescent="0.25">
      <c r="B70" s="22" t="s">
        <v>110</v>
      </c>
      <c r="C70" s="4" t="s">
        <v>111</v>
      </c>
      <c r="D70" s="193">
        <v>606222</v>
      </c>
      <c r="E70" s="193">
        <v>592127.13600000006</v>
      </c>
      <c r="F70" s="250">
        <v>0</v>
      </c>
      <c r="G70" s="328">
        <f t="shared" si="4"/>
        <v>0</v>
      </c>
    </row>
    <row r="71" spans="2:7" x14ac:dyDescent="0.25">
      <c r="B71" s="22" t="s">
        <v>14</v>
      </c>
      <c r="C71" s="4" t="s">
        <v>112</v>
      </c>
      <c r="D71" s="193">
        <v>22643</v>
      </c>
      <c r="E71" s="193">
        <v>27856.312000000002</v>
      </c>
      <c r="F71" s="250">
        <v>25111.499</v>
      </c>
      <c r="G71" s="328">
        <f t="shared" si="4"/>
        <v>0.90146531242183092</v>
      </c>
    </row>
    <row r="72" spans="2:7" x14ac:dyDescent="0.25">
      <c r="B72" s="22" t="s">
        <v>113</v>
      </c>
      <c r="C72" s="4" t="s">
        <v>114</v>
      </c>
      <c r="D72" s="193"/>
      <c r="E72" s="193"/>
      <c r="F72" s="250">
        <v>0</v>
      </c>
      <c r="G72" s="328"/>
    </row>
    <row r="73" spans="2:7" x14ac:dyDescent="0.25">
      <c r="B73" s="22" t="s">
        <v>115</v>
      </c>
      <c r="C73" s="4" t="s">
        <v>116</v>
      </c>
      <c r="D73" s="193"/>
      <c r="E73" s="193">
        <f>E74+E75</f>
        <v>0</v>
      </c>
      <c r="F73" s="250">
        <f>F74+F75</f>
        <v>0</v>
      </c>
      <c r="G73" s="328"/>
    </row>
    <row r="74" spans="2:7" x14ac:dyDescent="0.25">
      <c r="B74" s="22" t="s">
        <v>117</v>
      </c>
      <c r="C74" s="4" t="s">
        <v>118</v>
      </c>
      <c r="D74" s="193"/>
      <c r="E74" s="193"/>
      <c r="F74" s="250"/>
      <c r="G74" s="328"/>
    </row>
    <row r="75" spans="2:7" ht="16.5" thickBot="1" x14ac:dyDescent="0.3">
      <c r="B75" s="25" t="s">
        <v>119</v>
      </c>
      <c r="C75" s="10" t="s">
        <v>120</v>
      </c>
      <c r="D75" s="194"/>
      <c r="E75" s="193"/>
      <c r="F75" s="250"/>
      <c r="G75" s="338"/>
    </row>
    <row r="76" spans="2:7" ht="16.5" thickBot="1" x14ac:dyDescent="0.3">
      <c r="B76" s="14" t="s">
        <v>15</v>
      </c>
      <c r="C76" s="9" t="s">
        <v>122</v>
      </c>
      <c r="D76" s="191">
        <f>D54+D68</f>
        <v>1382586.899</v>
      </c>
      <c r="E76" s="200">
        <f>E54+E68</f>
        <v>1516071.1179999998</v>
      </c>
      <c r="F76" s="249">
        <f>F54+F68</f>
        <v>731901.62199999986</v>
      </c>
      <c r="G76" s="329">
        <f t="shared" si="4"/>
        <v>0.48276206393637</v>
      </c>
    </row>
    <row r="77" spans="2:7" ht="16.5" thickBot="1" x14ac:dyDescent="0.3">
      <c r="B77" s="14" t="s">
        <v>20</v>
      </c>
      <c r="C77" s="9" t="s">
        <v>126</v>
      </c>
      <c r="D77" s="191">
        <f>SUM(D78:D80)</f>
        <v>0</v>
      </c>
      <c r="E77" s="200">
        <f>SUM(E78:E80)</f>
        <v>0</v>
      </c>
      <c r="F77" s="249">
        <f>SUM(F78:F80)</f>
        <v>0</v>
      </c>
      <c r="G77" s="339"/>
    </row>
    <row r="78" spans="2:7" x14ac:dyDescent="0.25">
      <c r="B78" s="21" t="s">
        <v>22</v>
      </c>
      <c r="C78" s="8" t="s">
        <v>123</v>
      </c>
      <c r="D78" s="192"/>
      <c r="E78" s="193"/>
      <c r="F78" s="250"/>
      <c r="G78" s="328"/>
    </row>
    <row r="79" spans="2:7" x14ac:dyDescent="0.25">
      <c r="B79" s="22" t="s">
        <v>26</v>
      </c>
      <c r="C79" s="4" t="s">
        <v>124</v>
      </c>
      <c r="D79" s="193"/>
      <c r="E79" s="193"/>
      <c r="F79" s="250"/>
      <c r="G79" s="328"/>
    </row>
    <row r="80" spans="2:7" ht="16.5" thickBot="1" x14ac:dyDescent="0.3">
      <c r="B80" s="25" t="s">
        <v>27</v>
      </c>
      <c r="C80" s="10" t="s">
        <v>125</v>
      </c>
      <c r="D80" s="194"/>
      <c r="E80" s="193"/>
      <c r="F80" s="250"/>
      <c r="G80" s="328"/>
    </row>
    <row r="81" spans="1:7" ht="16.5" thickBot="1" x14ac:dyDescent="0.3">
      <c r="B81" s="28" t="s">
        <v>29</v>
      </c>
      <c r="C81" s="29" t="s">
        <v>127</v>
      </c>
      <c r="D81" s="196"/>
      <c r="E81" s="193"/>
      <c r="F81" s="250"/>
      <c r="G81" s="338"/>
    </row>
    <row r="82" spans="1:7" ht="16.5" thickBot="1" x14ac:dyDescent="0.3">
      <c r="B82" s="14" t="s">
        <v>52</v>
      </c>
      <c r="C82" s="9" t="s">
        <v>130</v>
      </c>
      <c r="D82" s="191">
        <f>D83</f>
        <v>10927.733</v>
      </c>
      <c r="E82" s="200">
        <f>E83</f>
        <v>10927.733</v>
      </c>
      <c r="F82" s="249">
        <f>F83</f>
        <v>10927.733</v>
      </c>
      <c r="G82" s="329">
        <f t="shared" si="4"/>
        <v>1</v>
      </c>
    </row>
    <row r="83" spans="1:7" ht="16.5" thickBot="1" x14ac:dyDescent="0.3">
      <c r="B83" s="26" t="s">
        <v>128</v>
      </c>
      <c r="C83" s="27" t="s">
        <v>129</v>
      </c>
      <c r="D83" s="197">
        <v>10927.733</v>
      </c>
      <c r="E83" s="244">
        <v>10927.733</v>
      </c>
      <c r="F83" s="254">
        <v>10927.733</v>
      </c>
      <c r="G83" s="338">
        <f t="shared" si="4"/>
        <v>1</v>
      </c>
    </row>
    <row r="84" spans="1:7" ht="16.5" thickBot="1" x14ac:dyDescent="0.3">
      <c r="B84" s="14" t="s">
        <v>54</v>
      </c>
      <c r="C84" s="9" t="s">
        <v>131</v>
      </c>
      <c r="D84" s="191"/>
      <c r="E84" s="245"/>
      <c r="F84" s="498"/>
      <c r="G84" s="339"/>
    </row>
    <row r="85" spans="1:7" ht="16.5" thickBot="1" x14ac:dyDescent="0.3">
      <c r="B85" s="14" t="s">
        <v>56</v>
      </c>
      <c r="C85" s="9" t="s">
        <v>132</v>
      </c>
      <c r="D85" s="191"/>
      <c r="E85" s="245"/>
      <c r="F85" s="498"/>
      <c r="G85" s="339"/>
    </row>
    <row r="86" spans="1:7" ht="16.5" thickBot="1" x14ac:dyDescent="0.3">
      <c r="B86" s="14" t="s">
        <v>133</v>
      </c>
      <c r="C86" s="9" t="s">
        <v>134</v>
      </c>
      <c r="D86" s="191"/>
      <c r="E86" s="192"/>
      <c r="F86" s="498"/>
      <c r="G86" s="339"/>
    </row>
    <row r="87" spans="1:7" ht="16.5" thickBot="1" x14ac:dyDescent="0.3">
      <c r="B87" s="14" t="s">
        <v>59</v>
      </c>
      <c r="C87" s="9" t="s">
        <v>135</v>
      </c>
      <c r="D87" s="191">
        <f>D77+D81+D82+D84+D85+D86</f>
        <v>10927.733</v>
      </c>
      <c r="E87" s="200">
        <f>E77+E81+E82+E84+E85+E86</f>
        <v>10927.733</v>
      </c>
      <c r="F87" s="249">
        <f>F77+F81+F82+F84+F85+F86</f>
        <v>10927.733</v>
      </c>
      <c r="G87" s="329">
        <f t="shared" si="4"/>
        <v>1</v>
      </c>
    </row>
    <row r="88" spans="1:7" ht="16.5" thickBot="1" x14ac:dyDescent="0.3">
      <c r="B88" s="14" t="s">
        <v>67</v>
      </c>
      <c r="C88" s="9" t="s">
        <v>136</v>
      </c>
      <c r="D88" s="191">
        <f>D76+D87</f>
        <v>1393514.632</v>
      </c>
      <c r="E88" s="200">
        <f>E76+E87</f>
        <v>1526998.8509999998</v>
      </c>
      <c r="F88" s="249">
        <f>F76+F87</f>
        <v>742829.35499999986</v>
      </c>
      <c r="G88" s="329">
        <f t="shared" si="4"/>
        <v>0.48646359786946558</v>
      </c>
    </row>
    <row r="89" spans="1:7" x14ac:dyDescent="0.25">
      <c r="G89" s="320"/>
    </row>
    <row r="90" spans="1:7" s="30" customFormat="1" ht="29.25" customHeight="1" x14ac:dyDescent="0.25">
      <c r="A90" s="318"/>
      <c r="B90" s="334" t="s">
        <v>141</v>
      </c>
      <c r="C90" s="334"/>
      <c r="D90" s="334"/>
      <c r="E90" s="318"/>
      <c r="F90" s="499"/>
      <c r="G90" s="322"/>
    </row>
    <row r="91" spans="1:7" ht="16.5" thickBot="1" x14ac:dyDescent="0.3">
      <c r="B91" s="18" t="s">
        <v>142</v>
      </c>
      <c r="C91" s="1"/>
      <c r="D91" s="151"/>
      <c r="G91" s="320"/>
    </row>
    <row r="92" spans="1:7" s="318" customFormat="1" ht="32.25" thickBot="1" x14ac:dyDescent="0.3">
      <c r="B92" s="5" t="s">
        <v>3</v>
      </c>
      <c r="C92" s="335" t="s">
        <v>143</v>
      </c>
      <c r="D92" s="336">
        <f>D35-D76</f>
        <v>-447046.0199999999</v>
      </c>
      <c r="E92" s="337">
        <f>E35-E76</f>
        <v>-500961.68999999983</v>
      </c>
      <c r="F92" s="500">
        <f>F35-F76</f>
        <v>181936.92500000016</v>
      </c>
      <c r="G92" s="322"/>
    </row>
    <row r="93" spans="1:7" s="318" customFormat="1" ht="32.25" thickBot="1" x14ac:dyDescent="0.3">
      <c r="B93" s="5" t="s">
        <v>5</v>
      </c>
      <c r="C93" s="335" t="s">
        <v>144</v>
      </c>
      <c r="D93" s="336">
        <f>D48-D87</f>
        <v>447046.02</v>
      </c>
      <c r="E93" s="337">
        <f>E48-E87</f>
        <v>500961.69</v>
      </c>
      <c r="F93" s="500">
        <f>F48-F87</f>
        <v>500961.69</v>
      </c>
      <c r="G93" s="322"/>
    </row>
    <row r="94" spans="1:7" x14ac:dyDescent="0.25">
      <c r="G94" s="320"/>
    </row>
    <row r="95" spans="1:7" x14ac:dyDescent="0.25">
      <c r="G95" s="320"/>
    </row>
    <row r="96" spans="1:7" ht="31.5" x14ac:dyDescent="0.25">
      <c r="C96" s="167" t="s">
        <v>359</v>
      </c>
      <c r="E96" s="470" t="s">
        <v>388</v>
      </c>
      <c r="G96" s="320"/>
    </row>
    <row r="97" spans="3:7" x14ac:dyDescent="0.25">
      <c r="C97" s="2" t="s">
        <v>0</v>
      </c>
      <c r="G97" s="320"/>
    </row>
    <row r="98" spans="3:7" x14ac:dyDescent="0.25">
      <c r="C98" s="2" t="s">
        <v>360</v>
      </c>
      <c r="E98" s="489" t="s">
        <v>511</v>
      </c>
      <c r="G98" s="320"/>
    </row>
    <row r="99" spans="3:7" x14ac:dyDescent="0.25">
      <c r="C99" s="2" t="s">
        <v>368</v>
      </c>
      <c r="E99" s="489" t="s">
        <v>511</v>
      </c>
      <c r="G99" s="320"/>
    </row>
    <row r="100" spans="3:7" x14ac:dyDescent="0.25">
      <c r="C100" s="2" t="s">
        <v>515</v>
      </c>
      <c r="E100" s="489" t="s">
        <v>516</v>
      </c>
      <c r="G100" s="320"/>
    </row>
    <row r="101" spans="3:7" x14ac:dyDescent="0.25">
      <c r="C101" s="2" t="s">
        <v>369</v>
      </c>
      <c r="E101" s="489" t="s">
        <v>512</v>
      </c>
      <c r="G101" s="320"/>
    </row>
    <row r="102" spans="3:7" x14ac:dyDescent="0.25">
      <c r="C102" s="2" t="s">
        <v>498</v>
      </c>
      <c r="E102" s="489" t="s">
        <v>559</v>
      </c>
      <c r="G102" s="320"/>
    </row>
    <row r="103" spans="3:7" x14ac:dyDescent="0.25">
      <c r="C103" s="2" t="s">
        <v>564</v>
      </c>
      <c r="E103" s="521" t="s">
        <v>560</v>
      </c>
      <c r="G103" s="320"/>
    </row>
    <row r="104" spans="3:7" x14ac:dyDescent="0.25">
      <c r="C104" s="2" t="s">
        <v>562</v>
      </c>
      <c r="E104" s="522" t="s">
        <v>511</v>
      </c>
      <c r="G104" s="320"/>
    </row>
    <row r="105" spans="3:7" x14ac:dyDescent="0.25">
      <c r="C105" s="2" t="s">
        <v>563</v>
      </c>
      <c r="E105" s="522" t="s">
        <v>561</v>
      </c>
      <c r="G105" s="320"/>
    </row>
    <row r="106" spans="3:7" x14ac:dyDescent="0.25">
      <c r="C106" s="2" t="s">
        <v>568</v>
      </c>
      <c r="E106" s="522" t="s">
        <v>511</v>
      </c>
      <c r="G106" s="320"/>
    </row>
    <row r="107" spans="3:7" x14ac:dyDescent="0.25">
      <c r="E107" s="489"/>
      <c r="G107" s="320"/>
    </row>
    <row r="108" spans="3:7" x14ac:dyDescent="0.25">
      <c r="C108" s="2" t="s">
        <v>361</v>
      </c>
      <c r="E108" s="489"/>
      <c r="G108" s="320"/>
    </row>
    <row r="109" spans="3:7" x14ac:dyDescent="0.25">
      <c r="C109" s="2" t="s">
        <v>367</v>
      </c>
      <c r="E109" s="489" t="s">
        <v>565</v>
      </c>
      <c r="G109" s="320"/>
    </row>
    <row r="110" spans="3:7" x14ac:dyDescent="0.25">
      <c r="C110" s="2" t="s">
        <v>362</v>
      </c>
      <c r="E110" s="489" t="s">
        <v>511</v>
      </c>
      <c r="G110" s="320"/>
    </row>
    <row r="111" spans="3:7" x14ac:dyDescent="0.25">
      <c r="E111" s="489"/>
      <c r="G111" s="320"/>
    </row>
    <row r="112" spans="3:7" x14ac:dyDescent="0.25">
      <c r="C112" s="2" t="s">
        <v>363</v>
      </c>
      <c r="E112" s="489"/>
      <c r="G112" s="320"/>
    </row>
    <row r="113" spans="3:7" x14ac:dyDescent="0.25">
      <c r="C113" s="2" t="s">
        <v>513</v>
      </c>
      <c r="E113" s="489" t="s">
        <v>566</v>
      </c>
      <c r="G113" s="320"/>
    </row>
    <row r="114" spans="3:7" x14ac:dyDescent="0.25">
      <c r="E114" s="489"/>
      <c r="G114" s="320"/>
    </row>
    <row r="115" spans="3:7" x14ac:dyDescent="0.25">
      <c r="C115" s="2" t="s">
        <v>364</v>
      </c>
      <c r="E115" s="489"/>
      <c r="G115" s="320"/>
    </row>
    <row r="116" spans="3:7" x14ac:dyDescent="0.25">
      <c r="C116" s="2" t="s">
        <v>365</v>
      </c>
      <c r="E116" s="489" t="s">
        <v>567</v>
      </c>
      <c r="G116" s="320"/>
    </row>
    <row r="117" spans="3:7" x14ac:dyDescent="0.25">
      <c r="E117" s="489"/>
      <c r="G117" s="320"/>
    </row>
    <row r="118" spans="3:7" x14ac:dyDescent="0.25">
      <c r="C118" s="2" t="s">
        <v>366</v>
      </c>
      <c r="E118" s="489"/>
      <c r="G118" s="320"/>
    </row>
    <row r="119" spans="3:7" x14ac:dyDescent="0.25">
      <c r="C119" s="2" t="s">
        <v>514</v>
      </c>
      <c r="E119" s="489" t="s">
        <v>569</v>
      </c>
      <c r="G119" s="320"/>
    </row>
    <row r="120" spans="3:7" x14ac:dyDescent="0.25">
      <c r="C120" s="2" t="s">
        <v>570</v>
      </c>
      <c r="E120" s="504" t="s">
        <v>511</v>
      </c>
      <c r="G120" s="320"/>
    </row>
    <row r="121" spans="3:7" x14ac:dyDescent="0.25">
      <c r="C121" s="2" t="s">
        <v>568</v>
      </c>
      <c r="E121" s="522" t="s">
        <v>511</v>
      </c>
      <c r="G121" s="320"/>
    </row>
    <row r="122" spans="3:7" x14ac:dyDescent="0.25">
      <c r="E122" s="489"/>
      <c r="G122" s="320"/>
    </row>
    <row r="123" spans="3:7" x14ac:dyDescent="0.25">
      <c r="C123" s="2" t="s">
        <v>571</v>
      </c>
      <c r="E123" s="489" t="s">
        <v>572</v>
      </c>
      <c r="G123" s="320"/>
    </row>
    <row r="124" spans="3:7" x14ac:dyDescent="0.25">
      <c r="G124" s="320"/>
    </row>
    <row r="125" spans="3:7" x14ac:dyDescent="0.25">
      <c r="G125" s="320"/>
    </row>
    <row r="126" spans="3:7" x14ac:dyDescent="0.25">
      <c r="G126" s="320"/>
    </row>
    <row r="127" spans="3:7" x14ac:dyDescent="0.25">
      <c r="G127" s="320"/>
    </row>
    <row r="128" spans="3:7" x14ac:dyDescent="0.25">
      <c r="G128" s="320"/>
    </row>
    <row r="129" spans="7:7" x14ac:dyDescent="0.25">
      <c r="G129" s="320"/>
    </row>
    <row r="130" spans="7:7" x14ac:dyDescent="0.25">
      <c r="G130" s="320"/>
    </row>
    <row r="131" spans="7:7" x14ac:dyDescent="0.25">
      <c r="G131" s="320"/>
    </row>
    <row r="132" spans="7:7" x14ac:dyDescent="0.25">
      <c r="G132" s="320"/>
    </row>
    <row r="133" spans="7:7" x14ac:dyDescent="0.25">
      <c r="G133" s="320"/>
    </row>
    <row r="134" spans="7:7" x14ac:dyDescent="0.25">
      <c r="G134" s="320"/>
    </row>
    <row r="135" spans="7:7" x14ac:dyDescent="0.25">
      <c r="G135" s="320"/>
    </row>
    <row r="136" spans="7:7" x14ac:dyDescent="0.25">
      <c r="G136" s="320"/>
    </row>
    <row r="137" spans="7:7" x14ac:dyDescent="0.25">
      <c r="G137" s="320"/>
    </row>
    <row r="138" spans="7:7" x14ac:dyDescent="0.25">
      <c r="G138" s="320"/>
    </row>
    <row r="139" spans="7:7" x14ac:dyDescent="0.25">
      <c r="G139" s="320"/>
    </row>
    <row r="140" spans="7:7" x14ac:dyDescent="0.25">
      <c r="G140" s="320"/>
    </row>
    <row r="141" spans="7:7" x14ac:dyDescent="0.25">
      <c r="G141" s="320"/>
    </row>
    <row r="142" spans="7:7" x14ac:dyDescent="0.25">
      <c r="G142" s="320"/>
    </row>
    <row r="143" spans="7:7" x14ac:dyDescent="0.25">
      <c r="G143" s="320"/>
    </row>
    <row r="144" spans="7:7" x14ac:dyDescent="0.25">
      <c r="G144" s="320"/>
    </row>
    <row r="145" spans="7:7" x14ac:dyDescent="0.25">
      <c r="G145" s="320"/>
    </row>
    <row r="146" spans="7:7" x14ac:dyDescent="0.25">
      <c r="G146" s="320"/>
    </row>
    <row r="147" spans="7:7" x14ac:dyDescent="0.25">
      <c r="G147" s="320"/>
    </row>
    <row r="148" spans="7:7" x14ac:dyDescent="0.25">
      <c r="G148" s="320"/>
    </row>
    <row r="149" spans="7:7" x14ac:dyDescent="0.25">
      <c r="G149" s="320"/>
    </row>
    <row r="150" spans="7:7" x14ac:dyDescent="0.25">
      <c r="G150" s="320"/>
    </row>
    <row r="151" spans="7:7" x14ac:dyDescent="0.25">
      <c r="G151" s="320"/>
    </row>
    <row r="152" spans="7:7" x14ac:dyDescent="0.25">
      <c r="G152" s="320"/>
    </row>
    <row r="153" spans="7:7" x14ac:dyDescent="0.25">
      <c r="G153" s="320"/>
    </row>
    <row r="154" spans="7:7" x14ac:dyDescent="0.25">
      <c r="G154" s="320"/>
    </row>
    <row r="155" spans="7:7" x14ac:dyDescent="0.25">
      <c r="G155" s="320"/>
    </row>
    <row r="156" spans="7:7" x14ac:dyDescent="0.25">
      <c r="G156" s="320"/>
    </row>
    <row r="157" spans="7:7" x14ac:dyDescent="0.25">
      <c r="G157" s="320"/>
    </row>
    <row r="158" spans="7:7" x14ac:dyDescent="0.25">
      <c r="G158" s="320"/>
    </row>
    <row r="159" spans="7:7" x14ac:dyDescent="0.25">
      <c r="G159" s="320"/>
    </row>
    <row r="160" spans="7:7" x14ac:dyDescent="0.25">
      <c r="G160" s="320"/>
    </row>
    <row r="161" spans="7:7" x14ac:dyDescent="0.25">
      <c r="G161" s="320"/>
    </row>
    <row r="162" spans="7:7" x14ac:dyDescent="0.25">
      <c r="G162" s="320"/>
    </row>
    <row r="163" spans="7:7" x14ac:dyDescent="0.25">
      <c r="G163" s="320"/>
    </row>
    <row r="164" spans="7:7" x14ac:dyDescent="0.25">
      <c r="G164" s="320"/>
    </row>
    <row r="165" spans="7:7" x14ac:dyDescent="0.25">
      <c r="G165" s="320"/>
    </row>
    <row r="166" spans="7:7" x14ac:dyDescent="0.25">
      <c r="G166" s="320"/>
    </row>
    <row r="167" spans="7:7" x14ac:dyDescent="0.25">
      <c r="G167" s="320"/>
    </row>
    <row r="168" spans="7:7" x14ac:dyDescent="0.25">
      <c r="G168" s="320"/>
    </row>
    <row r="169" spans="7:7" x14ac:dyDescent="0.25">
      <c r="G169" s="320"/>
    </row>
    <row r="170" spans="7:7" x14ac:dyDescent="0.25">
      <c r="G170" s="320"/>
    </row>
    <row r="171" spans="7:7" x14ac:dyDescent="0.25">
      <c r="G171" s="320"/>
    </row>
    <row r="172" spans="7:7" x14ac:dyDescent="0.25">
      <c r="G172" s="320"/>
    </row>
    <row r="173" spans="7:7" x14ac:dyDescent="0.25">
      <c r="G173" s="320"/>
    </row>
    <row r="174" spans="7:7" x14ac:dyDescent="0.25">
      <c r="G174" s="320"/>
    </row>
    <row r="175" spans="7:7" x14ac:dyDescent="0.25">
      <c r="G175" s="320"/>
    </row>
    <row r="176" spans="7:7" x14ac:dyDescent="0.25">
      <c r="G176" s="320"/>
    </row>
    <row r="177" spans="7:7" x14ac:dyDescent="0.25">
      <c r="G177" s="320"/>
    </row>
  </sheetData>
  <mergeCells count="6">
    <mergeCell ref="A51:G51"/>
    <mergeCell ref="B1:E1"/>
    <mergeCell ref="A2:G2"/>
    <mergeCell ref="A3:G3"/>
    <mergeCell ref="A4:G4"/>
    <mergeCell ref="A5:G5"/>
  </mergeCells>
  <pageMargins left="0.70866141732283461" right="0.70866141732283461" top="0.74803149606299213" bottom="0.74803149606299213" header="0.31496062992125984" footer="0.31496062992125984"/>
  <pageSetup paperSize="9" scale="61" fitToHeight="2" orientation="portrait" r:id="rId1"/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7"/>
  <sheetViews>
    <sheetView view="pageBreakPreview" topLeftCell="C1" zoomScaleNormal="100" zoomScaleSheetLayoutView="100" workbookViewId="0">
      <selection activeCell="C2" sqref="C2:AB2"/>
    </sheetView>
  </sheetViews>
  <sheetFormatPr defaultRowHeight="15" x14ac:dyDescent="0.25"/>
  <cols>
    <col min="1" max="1" width="5.28515625" style="58" customWidth="1"/>
    <col min="2" max="2" width="13.28515625" style="58" customWidth="1"/>
    <col min="3" max="3" width="35.140625" style="58" customWidth="1"/>
    <col min="4" max="4" width="10.5703125" style="58" bestFit="1" customWidth="1"/>
    <col min="5" max="6" width="8.42578125" style="58" bestFit="1" customWidth="1"/>
    <col min="7" max="7" width="10.5703125" style="58" bestFit="1" customWidth="1"/>
    <col min="8" max="8" width="7.85546875" style="58" bestFit="1" customWidth="1"/>
    <col min="9" max="9" width="6.140625" style="58" bestFit="1" customWidth="1"/>
    <col min="10" max="10" width="10.5703125" style="58" bestFit="1" customWidth="1"/>
    <col min="11" max="11" width="7.85546875" style="58" bestFit="1" customWidth="1"/>
    <col min="12" max="12" width="6.140625" style="58" bestFit="1" customWidth="1"/>
    <col min="13" max="13" width="10.5703125" style="58" bestFit="1" customWidth="1"/>
    <col min="14" max="14" width="7.85546875" style="58" bestFit="1" customWidth="1"/>
    <col min="15" max="15" width="6.140625" style="58" bestFit="1" customWidth="1"/>
    <col min="16" max="16" width="10.5703125" style="58" bestFit="1" customWidth="1"/>
    <col min="17" max="17" width="7.85546875" style="58" bestFit="1" customWidth="1"/>
    <col min="18" max="18" width="6.140625" style="58" bestFit="1" customWidth="1"/>
    <col min="19" max="19" width="10.5703125" style="58" bestFit="1" customWidth="1"/>
    <col min="20" max="20" width="7.85546875" style="58" bestFit="1" customWidth="1"/>
    <col min="21" max="21" width="6.140625" style="58" bestFit="1" customWidth="1"/>
    <col min="22" max="24" width="11.28515625" style="58" bestFit="1" customWidth="1"/>
    <col min="25" max="25" width="11.42578125" style="58" customWidth="1"/>
    <col min="26" max="27" width="11.28515625" style="58" bestFit="1" customWidth="1"/>
    <col min="28" max="16384" width="9.140625" style="58"/>
  </cols>
  <sheetData>
    <row r="1" spans="1:28" x14ac:dyDescent="0.25">
      <c r="P1" s="851" t="s">
        <v>1023</v>
      </c>
      <c r="Q1" s="852"/>
      <c r="R1" s="852"/>
      <c r="S1" s="853"/>
      <c r="T1" s="853"/>
      <c r="U1" s="853"/>
      <c r="V1" s="853"/>
      <c r="W1" s="853"/>
      <c r="X1" s="853"/>
      <c r="Y1" s="853"/>
    </row>
    <row r="2" spans="1:28" ht="54.75" customHeight="1" x14ac:dyDescent="0.25">
      <c r="A2" s="56">
        <v>1</v>
      </c>
      <c r="B2" s="56"/>
      <c r="C2" s="854" t="s">
        <v>549</v>
      </c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5"/>
      <c r="Y2" s="855"/>
      <c r="Z2" s="855"/>
      <c r="AA2" s="855"/>
      <c r="AB2" s="856"/>
    </row>
    <row r="3" spans="1:28" ht="84" customHeight="1" x14ac:dyDescent="0.25">
      <c r="A3" s="56">
        <v>2</v>
      </c>
      <c r="B3" s="62" t="s">
        <v>255</v>
      </c>
      <c r="C3" s="63" t="s">
        <v>199</v>
      </c>
      <c r="D3" s="840" t="s">
        <v>159</v>
      </c>
      <c r="E3" s="841"/>
      <c r="F3" s="842"/>
      <c r="G3" s="840" t="s">
        <v>158</v>
      </c>
      <c r="H3" s="841"/>
      <c r="I3" s="842"/>
      <c r="J3" s="840" t="s">
        <v>201</v>
      </c>
      <c r="K3" s="841"/>
      <c r="L3" s="842"/>
      <c r="M3" s="840" t="s">
        <v>202</v>
      </c>
      <c r="N3" s="841"/>
      <c r="O3" s="842"/>
      <c r="P3" s="840" t="s">
        <v>203</v>
      </c>
      <c r="Q3" s="841"/>
      <c r="R3" s="842"/>
      <c r="S3" s="840" t="s">
        <v>248</v>
      </c>
      <c r="T3" s="841"/>
      <c r="U3" s="842"/>
      <c r="V3" s="840" t="s">
        <v>249</v>
      </c>
      <c r="W3" s="841"/>
      <c r="X3" s="842"/>
      <c r="Y3" s="848" t="s">
        <v>205</v>
      </c>
      <c r="Z3" s="849"/>
      <c r="AA3" s="849"/>
      <c r="AB3" s="850"/>
    </row>
    <row r="4" spans="1:28" s="69" customFormat="1" ht="28.5" x14ac:dyDescent="0.25">
      <c r="A4" s="181">
        <v>3</v>
      </c>
      <c r="B4" s="82"/>
      <c r="C4" s="63" t="s">
        <v>250</v>
      </c>
      <c r="D4" s="64" t="s">
        <v>402</v>
      </c>
      <c r="E4" s="100" t="s">
        <v>399</v>
      </c>
      <c r="F4" s="100" t="s">
        <v>407</v>
      </c>
      <c r="G4" s="64" t="s">
        <v>402</v>
      </c>
      <c r="H4" s="100" t="s">
        <v>399</v>
      </c>
      <c r="I4" s="100" t="s">
        <v>407</v>
      </c>
      <c r="J4" s="64" t="s">
        <v>402</v>
      </c>
      <c r="K4" s="100" t="s">
        <v>399</v>
      </c>
      <c r="L4" s="100" t="s">
        <v>407</v>
      </c>
      <c r="M4" s="64" t="s">
        <v>402</v>
      </c>
      <c r="N4" s="100" t="s">
        <v>399</v>
      </c>
      <c r="O4" s="100" t="s">
        <v>407</v>
      </c>
      <c r="P4" s="64" t="s">
        <v>402</v>
      </c>
      <c r="Q4" s="100" t="s">
        <v>399</v>
      </c>
      <c r="R4" s="100" t="s">
        <v>407</v>
      </c>
      <c r="S4" s="64" t="s">
        <v>402</v>
      </c>
      <c r="T4" s="100" t="s">
        <v>399</v>
      </c>
      <c r="U4" s="100" t="s">
        <v>407</v>
      </c>
      <c r="V4" s="64" t="s">
        <v>402</v>
      </c>
      <c r="W4" s="100" t="s">
        <v>399</v>
      </c>
      <c r="X4" s="100" t="s">
        <v>407</v>
      </c>
      <c r="Y4" s="64" t="s">
        <v>402</v>
      </c>
      <c r="Z4" s="100" t="s">
        <v>399</v>
      </c>
      <c r="AA4" s="100" t="s">
        <v>407</v>
      </c>
      <c r="AB4" s="100" t="s">
        <v>408</v>
      </c>
    </row>
    <row r="5" spans="1:28" x14ac:dyDescent="0.25">
      <c r="A5" s="56">
        <v>4</v>
      </c>
      <c r="B5" s="65" t="s">
        <v>207</v>
      </c>
      <c r="C5" s="66" t="s">
        <v>266</v>
      </c>
      <c r="D5" s="147">
        <v>305.10000000000002</v>
      </c>
      <c r="E5" s="147">
        <v>306.58699999999999</v>
      </c>
      <c r="F5" s="147">
        <v>306.58699999999999</v>
      </c>
      <c r="G5" s="147"/>
      <c r="H5" s="147"/>
      <c r="I5" s="14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8">
        <v>97092.9</v>
      </c>
      <c r="W5" s="208">
        <v>96796.074999999997</v>
      </c>
      <c r="X5" s="208">
        <v>96796.074999999997</v>
      </c>
      <c r="Y5" s="140">
        <f t="shared" ref="Y5:AA7" si="0">D5+G5+J5+M5+P5+S5+V5</f>
        <v>97398</v>
      </c>
      <c r="Z5" s="140">
        <f t="shared" si="0"/>
        <v>97102.661999999997</v>
      </c>
      <c r="AA5" s="140">
        <f>F5+I5+L5+O5+R5+U5+X5</f>
        <v>97102.661999999997</v>
      </c>
      <c r="AB5" s="269">
        <f>AA5/Z5</f>
        <v>1</v>
      </c>
    </row>
    <row r="6" spans="1:28" x14ac:dyDescent="0.25">
      <c r="A6" s="56">
        <v>5</v>
      </c>
      <c r="B6" s="65" t="s">
        <v>213</v>
      </c>
      <c r="C6" s="66" t="s">
        <v>267</v>
      </c>
      <c r="D6" s="147"/>
      <c r="E6" s="147"/>
      <c r="F6" s="147"/>
      <c r="G6" s="147"/>
      <c r="H6" s="147"/>
      <c r="I6" s="14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8">
        <v>170</v>
      </c>
      <c r="W6" s="208">
        <v>174.661</v>
      </c>
      <c r="X6" s="208">
        <v>174.661</v>
      </c>
      <c r="Y6" s="140">
        <f t="shared" si="0"/>
        <v>170</v>
      </c>
      <c r="Z6" s="140">
        <f t="shared" si="0"/>
        <v>174.661</v>
      </c>
      <c r="AA6" s="140">
        <f t="shared" si="0"/>
        <v>174.661</v>
      </c>
      <c r="AB6" s="269">
        <f t="shared" ref="AB6:AB9" si="1">AA6/Z6</f>
        <v>1</v>
      </c>
    </row>
    <row r="7" spans="1:28" s="69" customFormat="1" x14ac:dyDescent="0.25">
      <c r="A7" s="56">
        <v>6</v>
      </c>
      <c r="B7" s="67"/>
      <c r="C7" s="68" t="s">
        <v>253</v>
      </c>
      <c r="D7" s="209">
        <f t="shared" ref="D7:S7" si="2">SUM(D5:D6)</f>
        <v>305.10000000000002</v>
      </c>
      <c r="E7" s="209">
        <f t="shared" ref="E7:F7" si="3">SUM(E5:E6)</f>
        <v>306.58699999999999</v>
      </c>
      <c r="F7" s="209">
        <f t="shared" si="3"/>
        <v>306.58699999999999</v>
      </c>
      <c r="G7" s="209">
        <f t="shared" si="2"/>
        <v>0</v>
      </c>
      <c r="H7" s="209">
        <f t="shared" ref="H7:I7" si="4">SUM(H5:H6)</f>
        <v>0</v>
      </c>
      <c r="I7" s="209">
        <f t="shared" si="4"/>
        <v>0</v>
      </c>
      <c r="J7" s="209">
        <f t="shared" si="2"/>
        <v>0</v>
      </c>
      <c r="K7" s="209">
        <f t="shared" ref="K7:L7" si="5">SUM(K5:K6)</f>
        <v>0</v>
      </c>
      <c r="L7" s="209">
        <f t="shared" si="5"/>
        <v>0</v>
      </c>
      <c r="M7" s="209">
        <f t="shared" si="2"/>
        <v>0</v>
      </c>
      <c r="N7" s="209">
        <f t="shared" ref="N7:O7" si="6">SUM(N5:N6)</f>
        <v>0</v>
      </c>
      <c r="O7" s="209">
        <f t="shared" si="6"/>
        <v>0</v>
      </c>
      <c r="P7" s="209">
        <f t="shared" si="2"/>
        <v>0</v>
      </c>
      <c r="Q7" s="209">
        <f t="shared" ref="Q7:R7" si="7">SUM(Q5:Q6)</f>
        <v>0</v>
      </c>
      <c r="R7" s="209">
        <f t="shared" si="7"/>
        <v>0</v>
      </c>
      <c r="S7" s="209">
        <f t="shared" si="2"/>
        <v>0</v>
      </c>
      <c r="T7" s="209">
        <f t="shared" ref="T7:U7" si="8">SUM(T5:T6)</f>
        <v>0</v>
      </c>
      <c r="U7" s="209">
        <f t="shared" si="8"/>
        <v>0</v>
      </c>
      <c r="V7" s="210">
        <f>SUM(V5:V6)</f>
        <v>97262.9</v>
      </c>
      <c r="W7" s="210">
        <f>SUM(W5:W6)</f>
        <v>96970.73599999999</v>
      </c>
      <c r="X7" s="210">
        <f>SUM(X5:X6)</f>
        <v>96970.73599999999</v>
      </c>
      <c r="Y7" s="140">
        <f t="shared" si="0"/>
        <v>97568</v>
      </c>
      <c r="Z7" s="140">
        <f t="shared" si="0"/>
        <v>97277.322999999989</v>
      </c>
      <c r="AA7" s="140">
        <f t="shared" si="0"/>
        <v>97277.322999999989</v>
      </c>
      <c r="AB7" s="268">
        <f t="shared" si="1"/>
        <v>1</v>
      </c>
    </row>
    <row r="8" spans="1:28" x14ac:dyDescent="0.25">
      <c r="A8" s="56">
        <v>7</v>
      </c>
      <c r="B8" s="65"/>
      <c r="C8" s="66" t="s">
        <v>238</v>
      </c>
      <c r="D8" s="148">
        <f t="shared" ref="D8:Z8" si="9">SUMIF($B5:$B6,"kötelező",D5:D6)</f>
        <v>305.10000000000002</v>
      </c>
      <c r="E8" s="148">
        <f t="shared" ref="E8:F8" si="10">SUMIF($B5:$B6,"kötelező",E5:E6)</f>
        <v>306.58699999999999</v>
      </c>
      <c r="F8" s="148">
        <f t="shared" si="10"/>
        <v>306.58699999999999</v>
      </c>
      <c r="G8" s="148">
        <f t="shared" si="9"/>
        <v>0</v>
      </c>
      <c r="H8" s="148">
        <f t="shared" ref="H8:I8" si="11">SUMIF($B5:$B6,"kötelező",H5:H6)</f>
        <v>0</v>
      </c>
      <c r="I8" s="148">
        <f t="shared" si="11"/>
        <v>0</v>
      </c>
      <c r="J8" s="148">
        <f t="shared" si="9"/>
        <v>0</v>
      </c>
      <c r="K8" s="148">
        <f t="shared" ref="K8:L8" si="12">SUMIF($B5:$B6,"kötelező",K5:K6)</f>
        <v>0</v>
      </c>
      <c r="L8" s="148">
        <f t="shared" si="12"/>
        <v>0</v>
      </c>
      <c r="M8" s="148">
        <f t="shared" si="9"/>
        <v>0</v>
      </c>
      <c r="N8" s="148">
        <f t="shared" ref="N8:O8" si="13">SUMIF($B5:$B6,"kötelező",N5:N6)</f>
        <v>0</v>
      </c>
      <c r="O8" s="148">
        <f t="shared" si="13"/>
        <v>0</v>
      </c>
      <c r="P8" s="148">
        <f t="shared" si="9"/>
        <v>0</v>
      </c>
      <c r="Q8" s="148">
        <f t="shared" ref="Q8:R8" si="14">SUMIF($B5:$B6,"kötelező",Q5:Q6)</f>
        <v>0</v>
      </c>
      <c r="R8" s="148">
        <f t="shared" si="14"/>
        <v>0</v>
      </c>
      <c r="S8" s="148">
        <f t="shared" si="9"/>
        <v>0</v>
      </c>
      <c r="T8" s="148">
        <f t="shared" ref="T8:U8" si="15">SUMIF($B5:$B6,"kötelező",T5:T6)</f>
        <v>0</v>
      </c>
      <c r="U8" s="148">
        <f t="shared" si="15"/>
        <v>0</v>
      </c>
      <c r="V8" s="148">
        <f t="shared" si="9"/>
        <v>97092.9</v>
      </c>
      <c r="W8" s="148">
        <f t="shared" si="9"/>
        <v>96796.074999999997</v>
      </c>
      <c r="X8" s="148">
        <f t="shared" ref="X8" si="16">SUMIF($B5:$B6,"kötelező",X5:X6)</f>
        <v>96796.074999999997</v>
      </c>
      <c r="Y8" s="148">
        <f t="shared" si="9"/>
        <v>97398</v>
      </c>
      <c r="Z8" s="148">
        <f t="shared" si="9"/>
        <v>97102.661999999997</v>
      </c>
      <c r="AA8" s="148">
        <f t="shared" ref="AA8" si="17">SUMIF($B5:$B6,"kötelező",AA5:AA6)</f>
        <v>97102.661999999997</v>
      </c>
      <c r="AB8" s="264">
        <f t="shared" si="1"/>
        <v>1</v>
      </c>
    </row>
    <row r="9" spans="1:28" x14ac:dyDescent="0.25">
      <c r="A9" s="56">
        <v>8</v>
      </c>
      <c r="B9" s="65"/>
      <c r="C9" s="66" t="s">
        <v>239</v>
      </c>
      <c r="D9" s="148">
        <f t="shared" ref="D9:Z9" si="18">SUMIF($B5:$B6,"nem kötelező",D5:D6)</f>
        <v>0</v>
      </c>
      <c r="E9" s="148">
        <f t="shared" ref="E9:F9" si="19">SUMIF($B5:$B6,"nem kötelező",E5:E6)</f>
        <v>0</v>
      </c>
      <c r="F9" s="148">
        <f t="shared" si="19"/>
        <v>0</v>
      </c>
      <c r="G9" s="148">
        <f t="shared" si="18"/>
        <v>0</v>
      </c>
      <c r="H9" s="148">
        <f t="shared" ref="H9:I9" si="20">SUMIF($B5:$B6,"nem kötelező",H5:H6)</f>
        <v>0</v>
      </c>
      <c r="I9" s="148">
        <f t="shared" si="20"/>
        <v>0</v>
      </c>
      <c r="J9" s="148">
        <f t="shared" si="18"/>
        <v>0</v>
      </c>
      <c r="K9" s="148">
        <f t="shared" ref="K9:L9" si="21">SUMIF($B5:$B6,"nem kötelező",K5:K6)</f>
        <v>0</v>
      </c>
      <c r="L9" s="148">
        <f t="shared" si="21"/>
        <v>0</v>
      </c>
      <c r="M9" s="148">
        <f t="shared" si="18"/>
        <v>0</v>
      </c>
      <c r="N9" s="148">
        <f t="shared" ref="N9:O9" si="22">SUMIF($B5:$B6,"nem kötelező",N5:N6)</f>
        <v>0</v>
      </c>
      <c r="O9" s="148">
        <f t="shared" si="22"/>
        <v>0</v>
      </c>
      <c r="P9" s="148">
        <f t="shared" si="18"/>
        <v>0</v>
      </c>
      <c r="Q9" s="148">
        <f t="shared" ref="Q9:R9" si="23">SUMIF($B5:$B6,"nem kötelező",Q5:Q6)</f>
        <v>0</v>
      </c>
      <c r="R9" s="148">
        <f t="shared" si="23"/>
        <v>0</v>
      </c>
      <c r="S9" s="148">
        <f t="shared" si="18"/>
        <v>0</v>
      </c>
      <c r="T9" s="148">
        <f t="shared" ref="T9:U9" si="24">SUMIF($B5:$B6,"nem kötelező",T5:T6)</f>
        <v>0</v>
      </c>
      <c r="U9" s="148">
        <f t="shared" si="24"/>
        <v>0</v>
      </c>
      <c r="V9" s="148">
        <f t="shared" si="18"/>
        <v>170</v>
      </c>
      <c r="W9" s="148">
        <f t="shared" si="18"/>
        <v>174.661</v>
      </c>
      <c r="X9" s="148">
        <f t="shared" ref="X9" si="25">SUMIF($B5:$B6,"nem kötelező",X5:X6)</f>
        <v>174.661</v>
      </c>
      <c r="Y9" s="148">
        <f t="shared" si="18"/>
        <v>170</v>
      </c>
      <c r="Z9" s="148">
        <f t="shared" si="18"/>
        <v>174.661</v>
      </c>
      <c r="AA9" s="148">
        <f t="shared" ref="AA9" si="26">SUMIF($B5:$B6,"nem kötelező",AA5:AA6)</f>
        <v>174.661</v>
      </c>
      <c r="AB9" s="264">
        <f t="shared" si="1"/>
        <v>1</v>
      </c>
    </row>
    <row r="10" spans="1:28" x14ac:dyDescent="0.2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7" spans="7:7" x14ac:dyDescent="0.25">
      <c r="G17" s="58" t="s">
        <v>268</v>
      </c>
    </row>
  </sheetData>
  <mergeCells count="10">
    <mergeCell ref="S3:U3"/>
    <mergeCell ref="V3:X3"/>
    <mergeCell ref="Y3:AB3"/>
    <mergeCell ref="P1:Y1"/>
    <mergeCell ref="C2:AB2"/>
    <mergeCell ref="D3:F3"/>
    <mergeCell ref="G3:I3"/>
    <mergeCell ref="J3:L3"/>
    <mergeCell ref="M3:O3"/>
    <mergeCell ref="P3:R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6"/>
  <sheetViews>
    <sheetView view="pageBreakPreview" zoomScaleNormal="100" zoomScaleSheetLayoutView="10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C2" sqref="C2:AE2"/>
    </sheetView>
  </sheetViews>
  <sheetFormatPr defaultRowHeight="15" x14ac:dyDescent="0.25"/>
  <cols>
    <col min="1" max="1" width="5.28515625" style="54" customWidth="1"/>
    <col min="2" max="2" width="13.28515625" style="54" customWidth="1"/>
    <col min="3" max="3" width="28" style="54" customWidth="1"/>
    <col min="4" max="6" width="10.140625" style="54" bestFit="1" customWidth="1"/>
    <col min="7" max="7" width="9.28515625" style="54" bestFit="1" customWidth="1"/>
    <col min="8" max="8" width="7.140625" style="54" bestFit="1" customWidth="1"/>
    <col min="9" max="9" width="6.140625" style="54" bestFit="1" customWidth="1"/>
    <col min="10" max="12" width="11.28515625" style="54" bestFit="1" customWidth="1"/>
    <col min="13" max="13" width="9.28515625" style="54" bestFit="1" customWidth="1"/>
    <col min="14" max="14" width="7.140625" style="54" bestFit="1" customWidth="1"/>
    <col min="15" max="15" width="6.140625" style="54" bestFit="1" customWidth="1"/>
    <col min="16" max="16" width="9.28515625" style="54" bestFit="1" customWidth="1"/>
    <col min="17" max="18" width="8.42578125" style="54" bestFit="1" customWidth="1"/>
    <col min="19" max="19" width="11.140625" style="54" bestFit="1" customWidth="1"/>
    <col min="20" max="20" width="7.7109375" style="54" bestFit="1" customWidth="1"/>
    <col min="21" max="21" width="7.7109375" style="54" customWidth="1"/>
    <col min="22" max="24" width="11.28515625" style="54" bestFit="1" customWidth="1"/>
    <col min="25" max="27" width="10.140625" style="54" customWidth="1"/>
    <col min="28" max="28" width="12.42578125" style="54" customWidth="1"/>
    <col min="29" max="29" width="12" style="204" bestFit="1" customWidth="1"/>
    <col min="30" max="30" width="11.28515625" style="54" bestFit="1" customWidth="1"/>
    <col min="31" max="16384" width="9.140625" style="54"/>
  </cols>
  <sheetData>
    <row r="1" spans="1:31" x14ac:dyDescent="0.25">
      <c r="S1" s="47"/>
      <c r="T1" s="47"/>
      <c r="U1" s="47"/>
      <c r="V1" s="47"/>
      <c r="W1" s="47"/>
      <c r="X1" s="47"/>
      <c r="Y1" s="47"/>
      <c r="Z1" s="47"/>
      <c r="AA1" s="47"/>
      <c r="AB1" s="95" t="s">
        <v>1024</v>
      </c>
    </row>
    <row r="2" spans="1:31" ht="58.5" customHeight="1" x14ac:dyDescent="0.25">
      <c r="A2" s="46">
        <v>1</v>
      </c>
      <c r="B2" s="46"/>
      <c r="C2" s="846" t="s">
        <v>550</v>
      </c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846"/>
      <c r="AB2" s="846"/>
      <c r="AC2" s="846"/>
      <c r="AD2" s="846"/>
      <c r="AE2" s="846"/>
    </row>
    <row r="3" spans="1:31" s="164" customFormat="1" ht="57" customHeight="1" x14ac:dyDescent="0.2">
      <c r="A3" s="161">
        <v>2</v>
      </c>
      <c r="B3" s="162" t="s">
        <v>255</v>
      </c>
      <c r="C3" s="163" t="s">
        <v>199</v>
      </c>
      <c r="D3" s="857" t="s">
        <v>159</v>
      </c>
      <c r="E3" s="858"/>
      <c r="F3" s="859"/>
      <c r="G3" s="857" t="s">
        <v>158</v>
      </c>
      <c r="H3" s="858"/>
      <c r="I3" s="859"/>
      <c r="J3" s="857" t="s">
        <v>201</v>
      </c>
      <c r="K3" s="858"/>
      <c r="L3" s="859"/>
      <c r="M3" s="857" t="s">
        <v>202</v>
      </c>
      <c r="N3" s="858"/>
      <c r="O3" s="859"/>
      <c r="P3" s="857" t="s">
        <v>203</v>
      </c>
      <c r="Q3" s="858"/>
      <c r="R3" s="859"/>
      <c r="S3" s="857" t="s">
        <v>248</v>
      </c>
      <c r="T3" s="858"/>
      <c r="U3" s="859"/>
      <c r="V3" s="857" t="s">
        <v>249</v>
      </c>
      <c r="W3" s="858"/>
      <c r="X3" s="859"/>
      <c r="Y3" s="857" t="s">
        <v>330</v>
      </c>
      <c r="Z3" s="858"/>
      <c r="AA3" s="859"/>
      <c r="AB3" s="857" t="s">
        <v>205</v>
      </c>
      <c r="AC3" s="858"/>
      <c r="AD3" s="858"/>
      <c r="AE3" s="859"/>
    </row>
    <row r="4" spans="1:31" s="229" customFormat="1" ht="30" x14ac:dyDescent="0.25">
      <c r="A4" s="227">
        <v>3</v>
      </c>
      <c r="B4" s="230"/>
      <c r="C4" s="228" t="s">
        <v>250</v>
      </c>
      <c r="D4" s="206" t="s">
        <v>405</v>
      </c>
      <c r="E4" s="102" t="s">
        <v>399</v>
      </c>
      <c r="F4" s="102" t="s">
        <v>407</v>
      </c>
      <c r="G4" s="206" t="s">
        <v>405</v>
      </c>
      <c r="H4" s="102" t="s">
        <v>399</v>
      </c>
      <c r="I4" s="102" t="s">
        <v>407</v>
      </c>
      <c r="J4" s="206" t="s">
        <v>405</v>
      </c>
      <c r="K4" s="102" t="s">
        <v>399</v>
      </c>
      <c r="L4" s="102" t="s">
        <v>407</v>
      </c>
      <c r="M4" s="206" t="s">
        <v>405</v>
      </c>
      <c r="N4" s="102" t="s">
        <v>399</v>
      </c>
      <c r="O4" s="102" t="s">
        <v>407</v>
      </c>
      <c r="P4" s="206" t="s">
        <v>405</v>
      </c>
      <c r="Q4" s="102" t="s">
        <v>399</v>
      </c>
      <c r="R4" s="102" t="s">
        <v>407</v>
      </c>
      <c r="S4" s="206" t="s">
        <v>405</v>
      </c>
      <c r="T4" s="102" t="s">
        <v>399</v>
      </c>
      <c r="U4" s="102" t="s">
        <v>407</v>
      </c>
      <c r="V4" s="206" t="s">
        <v>405</v>
      </c>
      <c r="W4" s="102" t="s">
        <v>399</v>
      </c>
      <c r="X4" s="102" t="s">
        <v>407</v>
      </c>
      <c r="Y4" s="206" t="s">
        <v>405</v>
      </c>
      <c r="Z4" s="102" t="s">
        <v>399</v>
      </c>
      <c r="AA4" s="102" t="s">
        <v>407</v>
      </c>
      <c r="AB4" s="206" t="s">
        <v>405</v>
      </c>
      <c r="AC4" s="102" t="s">
        <v>399</v>
      </c>
      <c r="AD4" s="102" t="s">
        <v>407</v>
      </c>
      <c r="AE4" s="102" t="s">
        <v>408</v>
      </c>
    </row>
    <row r="5" spans="1:31" s="58" customFormat="1" x14ac:dyDescent="0.25">
      <c r="A5" s="56">
        <v>4</v>
      </c>
      <c r="B5" s="84" t="s">
        <v>207</v>
      </c>
      <c r="C5" s="85" t="s">
        <v>344</v>
      </c>
      <c r="D5" s="137">
        <v>1330.1</v>
      </c>
      <c r="E5" s="137">
        <v>1245.4780000000001</v>
      </c>
      <c r="F5" s="137">
        <v>1245.4780000000001</v>
      </c>
      <c r="G5" s="137"/>
      <c r="H5" s="137"/>
      <c r="I5" s="137"/>
      <c r="J5" s="138">
        <v>2004</v>
      </c>
      <c r="K5" s="138">
        <v>2162.855</v>
      </c>
      <c r="L5" s="138">
        <v>2162.855</v>
      </c>
      <c r="M5" s="138"/>
      <c r="N5" s="138"/>
      <c r="O5" s="138"/>
      <c r="P5" s="138"/>
      <c r="Q5" s="138"/>
      <c r="R5" s="138"/>
      <c r="S5" s="138"/>
      <c r="T5" s="138"/>
      <c r="U5" s="138"/>
      <c r="V5" s="139">
        <v>12763.9</v>
      </c>
      <c r="W5" s="139">
        <v>12836.325000000001</v>
      </c>
      <c r="X5" s="139">
        <v>12836.325000000001</v>
      </c>
      <c r="Y5" s="139"/>
      <c r="Z5" s="139">
        <v>8.4</v>
      </c>
      <c r="AA5" s="139">
        <v>8.4</v>
      </c>
      <c r="AB5" s="140">
        <f t="shared" ref="AB5:AB12" si="0">D5+G5+J5+M5+P5+S5+V5</f>
        <v>16098</v>
      </c>
      <c r="AC5" s="205">
        <f>E5+H5+K5+N5+Q5+T5+W5+Z5</f>
        <v>16253.058000000001</v>
      </c>
      <c r="AD5" s="205">
        <f>F5+I5+L5+O5+R5+U5+X5+AA5</f>
        <v>16253.058000000001</v>
      </c>
      <c r="AE5" s="269">
        <f>AD5/AC5</f>
        <v>1</v>
      </c>
    </row>
    <row r="6" spans="1:31" s="58" customFormat="1" x14ac:dyDescent="0.25">
      <c r="A6" s="56">
        <v>6</v>
      </c>
      <c r="B6" s="84" t="s">
        <v>213</v>
      </c>
      <c r="C6" s="85" t="s">
        <v>345</v>
      </c>
      <c r="D6" s="137"/>
      <c r="E6" s="137"/>
      <c r="F6" s="137"/>
      <c r="G6" s="137"/>
      <c r="H6" s="137"/>
      <c r="I6" s="137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>
        <v>75</v>
      </c>
      <c r="W6" s="139">
        <v>66.802000000000007</v>
      </c>
      <c r="X6" s="139">
        <v>66.802000000000007</v>
      </c>
      <c r="Y6" s="139"/>
      <c r="Z6" s="139"/>
      <c r="AA6" s="139"/>
      <c r="AB6" s="140">
        <f t="shared" si="0"/>
        <v>75</v>
      </c>
      <c r="AC6" s="205">
        <f>E6+H6+K6+N6+Q6+T6+W6</f>
        <v>66.802000000000007</v>
      </c>
      <c r="AD6" s="205">
        <f t="shared" ref="AD6:AD12" si="1">F6+I6+L6+O6+R6+U6+X6</f>
        <v>66.802000000000007</v>
      </c>
      <c r="AE6" s="269">
        <f t="shared" ref="AE6:AE15" si="2">AD6/AC6</f>
        <v>1</v>
      </c>
    </row>
    <row r="7" spans="1:31" s="58" customFormat="1" x14ac:dyDescent="0.25">
      <c r="A7" s="56">
        <v>7</v>
      </c>
      <c r="B7" s="84" t="s">
        <v>213</v>
      </c>
      <c r="C7" s="85" t="s">
        <v>346</v>
      </c>
      <c r="D7" s="137">
        <v>70</v>
      </c>
      <c r="E7" s="137">
        <v>22.5</v>
      </c>
      <c r="F7" s="137">
        <v>22.5</v>
      </c>
      <c r="G7" s="137"/>
      <c r="H7" s="137"/>
      <c r="I7" s="137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9">
        <v>958</v>
      </c>
      <c r="W7" s="139">
        <v>1029.348</v>
      </c>
      <c r="X7" s="139">
        <v>1029.348</v>
      </c>
      <c r="Y7" s="139"/>
      <c r="Z7" s="139"/>
      <c r="AA7" s="139"/>
      <c r="AB7" s="140">
        <f t="shared" si="0"/>
        <v>1028</v>
      </c>
      <c r="AC7" s="205">
        <f>E7+H7+K7+N7+Q7+T7+W7</f>
        <v>1051.848</v>
      </c>
      <c r="AD7" s="205">
        <f t="shared" si="1"/>
        <v>1051.848</v>
      </c>
      <c r="AE7" s="269">
        <f t="shared" si="2"/>
        <v>1</v>
      </c>
    </row>
    <row r="8" spans="1:31" s="58" customFormat="1" x14ac:dyDescent="0.25">
      <c r="A8" s="56">
        <v>8</v>
      </c>
      <c r="B8" s="84" t="s">
        <v>213</v>
      </c>
      <c r="C8" s="85" t="s">
        <v>347</v>
      </c>
      <c r="D8" s="137">
        <v>335</v>
      </c>
      <c r="E8" s="137">
        <v>347.5</v>
      </c>
      <c r="F8" s="137">
        <v>347.5</v>
      </c>
      <c r="G8" s="137"/>
      <c r="H8" s="137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>
        <v>2355</v>
      </c>
      <c r="W8" s="139">
        <v>1645.056</v>
      </c>
      <c r="X8" s="139">
        <v>1992.556</v>
      </c>
      <c r="Y8" s="139"/>
      <c r="Z8" s="139"/>
      <c r="AA8" s="139"/>
      <c r="AB8" s="140">
        <f t="shared" si="0"/>
        <v>2690</v>
      </c>
      <c r="AC8" s="205">
        <f>E8+H8+K8+N8+Q8+T8+W8</f>
        <v>1992.556</v>
      </c>
      <c r="AD8" s="205">
        <f t="shared" si="1"/>
        <v>2340.056</v>
      </c>
      <c r="AE8" s="269">
        <f t="shared" si="2"/>
        <v>1.1743991135004486</v>
      </c>
    </row>
    <row r="9" spans="1:31" s="58" customFormat="1" x14ac:dyDescent="0.25">
      <c r="A9" s="56">
        <v>9</v>
      </c>
      <c r="B9" s="84" t="s">
        <v>213</v>
      </c>
      <c r="C9" s="85" t="s">
        <v>431</v>
      </c>
      <c r="D9" s="137"/>
      <c r="E9" s="137"/>
      <c r="F9" s="137"/>
      <c r="G9" s="137"/>
      <c r="H9" s="137"/>
      <c r="I9" s="137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9">
        <v>214</v>
      </c>
      <c r="W9" s="139">
        <v>231.755</v>
      </c>
      <c r="X9" s="139">
        <v>231.755</v>
      </c>
      <c r="Y9" s="139"/>
      <c r="Z9" s="139"/>
      <c r="AA9" s="139"/>
      <c r="AB9" s="140">
        <f t="shared" si="0"/>
        <v>214</v>
      </c>
      <c r="AC9" s="205">
        <f>E9+H9+K9+N9+Q9+T9+W9</f>
        <v>231.755</v>
      </c>
      <c r="AD9" s="205">
        <f t="shared" si="1"/>
        <v>231.755</v>
      </c>
      <c r="AE9" s="269">
        <f t="shared" si="2"/>
        <v>1</v>
      </c>
    </row>
    <row r="10" spans="1:31" s="58" customFormat="1" x14ac:dyDescent="0.25">
      <c r="A10" s="56"/>
      <c r="B10" s="84" t="s">
        <v>213</v>
      </c>
      <c r="C10" s="85" t="s">
        <v>432</v>
      </c>
      <c r="D10" s="137"/>
      <c r="E10" s="137">
        <v>1.2999999999999999E-2</v>
      </c>
      <c r="F10" s="137">
        <v>1.2999999999999999E-2</v>
      </c>
      <c r="G10" s="137"/>
      <c r="H10" s="137"/>
      <c r="I10" s="137"/>
      <c r="J10" s="138">
        <v>15158</v>
      </c>
      <c r="K10" s="138">
        <v>15157.98</v>
      </c>
      <c r="L10" s="138">
        <v>15157.98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9"/>
      <c r="W10" s="139"/>
      <c r="X10" s="139"/>
      <c r="Y10" s="139"/>
      <c r="Z10" s="139"/>
      <c r="AA10" s="139"/>
      <c r="AB10" s="140">
        <f t="shared" si="0"/>
        <v>15158</v>
      </c>
      <c r="AC10" s="205">
        <f t="shared" ref="AC10:AC12" si="3">E10+H10+K10+N10+Q10+T10+W10</f>
        <v>15157.993</v>
      </c>
      <c r="AD10" s="205">
        <f t="shared" si="1"/>
        <v>15157.993</v>
      </c>
      <c r="AE10" s="269">
        <f t="shared" si="2"/>
        <v>1</v>
      </c>
    </row>
    <row r="11" spans="1:31" s="58" customFormat="1" x14ac:dyDescent="0.25">
      <c r="A11" s="56"/>
      <c r="B11" s="84" t="s">
        <v>213</v>
      </c>
      <c r="C11" s="85" t="s">
        <v>442</v>
      </c>
      <c r="D11" s="137"/>
      <c r="E11" s="137"/>
      <c r="F11" s="137"/>
      <c r="G11" s="137"/>
      <c r="H11" s="137"/>
      <c r="I11" s="137"/>
      <c r="J11" s="138"/>
      <c r="K11" s="138">
        <v>3135.7220000000002</v>
      </c>
      <c r="L11" s="138">
        <v>3135.7220000000002</v>
      </c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39">
        <v>-268.911</v>
      </c>
      <c r="X11" s="139">
        <v>-616.41099999999994</v>
      </c>
      <c r="Y11" s="139"/>
      <c r="Z11" s="139"/>
      <c r="AA11" s="139"/>
      <c r="AB11" s="140"/>
      <c r="AC11" s="205">
        <f t="shared" si="3"/>
        <v>2866.8110000000001</v>
      </c>
      <c r="AD11" s="205">
        <f t="shared" si="1"/>
        <v>2519.3110000000001</v>
      </c>
      <c r="AE11" s="269">
        <f t="shared" si="2"/>
        <v>0.87878517279304424</v>
      </c>
    </row>
    <row r="12" spans="1:31" s="58" customFormat="1" x14ac:dyDescent="0.25">
      <c r="A12" s="56">
        <v>10</v>
      </c>
      <c r="B12" s="84" t="s">
        <v>213</v>
      </c>
      <c r="C12" s="85" t="s">
        <v>348</v>
      </c>
      <c r="D12" s="137">
        <v>3500</v>
      </c>
      <c r="E12" s="137">
        <v>2539</v>
      </c>
      <c r="F12" s="137">
        <v>2539</v>
      </c>
      <c r="G12" s="137"/>
      <c r="H12" s="137"/>
      <c r="I12" s="137"/>
      <c r="J12" s="138"/>
      <c r="K12" s="138"/>
      <c r="L12" s="138"/>
      <c r="M12" s="138"/>
      <c r="N12" s="138"/>
      <c r="O12" s="138"/>
      <c r="P12" s="138">
        <v>210</v>
      </c>
      <c r="Q12" s="138">
        <v>258</v>
      </c>
      <c r="R12" s="138">
        <v>258</v>
      </c>
      <c r="S12" s="138"/>
      <c r="T12" s="138"/>
      <c r="U12" s="138"/>
      <c r="V12" s="139">
        <v>7282</v>
      </c>
      <c r="W12" s="139">
        <v>7549.8429999999998</v>
      </c>
      <c r="X12" s="139">
        <v>7549.8429999999998</v>
      </c>
      <c r="Y12" s="139"/>
      <c r="Z12" s="139"/>
      <c r="AA12" s="139"/>
      <c r="AB12" s="140">
        <f t="shared" si="0"/>
        <v>10992</v>
      </c>
      <c r="AC12" s="205">
        <f t="shared" si="3"/>
        <v>10346.843000000001</v>
      </c>
      <c r="AD12" s="205">
        <f t="shared" si="1"/>
        <v>10346.843000000001</v>
      </c>
      <c r="AE12" s="269">
        <f t="shared" si="2"/>
        <v>1</v>
      </c>
    </row>
    <row r="13" spans="1:31" ht="15.75" x14ac:dyDescent="0.25">
      <c r="A13" s="56">
        <v>11</v>
      </c>
      <c r="B13" s="46"/>
      <c r="C13" s="50" t="s">
        <v>253</v>
      </c>
      <c r="D13" s="144">
        <f>SUM(D5:D12)</f>
        <v>5235.1000000000004</v>
      </c>
      <c r="E13" s="144">
        <f t="shared" ref="E13:AC13" si="4">SUM(E5:E12)</f>
        <v>4154.491</v>
      </c>
      <c r="F13" s="485">
        <f>SUM(F5:F12)</f>
        <v>4154.491</v>
      </c>
      <c r="G13" s="144">
        <f t="shared" si="4"/>
        <v>0</v>
      </c>
      <c r="H13" s="144">
        <f t="shared" si="4"/>
        <v>0</v>
      </c>
      <c r="I13" s="144">
        <f t="shared" si="4"/>
        <v>0</v>
      </c>
      <c r="J13" s="144">
        <f t="shared" si="4"/>
        <v>17162</v>
      </c>
      <c r="K13" s="144">
        <f t="shared" si="4"/>
        <v>20456.557000000001</v>
      </c>
      <c r="L13" s="485">
        <f t="shared" si="4"/>
        <v>20456.557000000001</v>
      </c>
      <c r="M13" s="144">
        <f t="shared" si="4"/>
        <v>0</v>
      </c>
      <c r="N13" s="144">
        <f t="shared" si="4"/>
        <v>0</v>
      </c>
      <c r="O13" s="144">
        <f t="shared" si="4"/>
        <v>0</v>
      </c>
      <c r="P13" s="144">
        <f t="shared" si="4"/>
        <v>210</v>
      </c>
      <c r="Q13" s="144">
        <f t="shared" si="4"/>
        <v>258</v>
      </c>
      <c r="R13" s="144">
        <f t="shared" si="4"/>
        <v>258</v>
      </c>
      <c r="S13" s="144">
        <f t="shared" si="4"/>
        <v>0</v>
      </c>
      <c r="T13" s="144">
        <f t="shared" si="4"/>
        <v>0</v>
      </c>
      <c r="U13" s="144">
        <f t="shared" si="4"/>
        <v>0</v>
      </c>
      <c r="V13" s="144">
        <f t="shared" si="4"/>
        <v>23647.9</v>
      </c>
      <c r="W13" s="144">
        <f t="shared" si="4"/>
        <v>23090.218000000001</v>
      </c>
      <c r="X13" s="144">
        <f t="shared" si="4"/>
        <v>23090.218000000001</v>
      </c>
      <c r="Y13" s="144">
        <f t="shared" si="4"/>
        <v>0</v>
      </c>
      <c r="Z13" s="144">
        <f t="shared" si="4"/>
        <v>8.4</v>
      </c>
      <c r="AA13" s="485">
        <f t="shared" si="4"/>
        <v>8.4</v>
      </c>
      <c r="AB13" s="144">
        <f t="shared" si="4"/>
        <v>46255</v>
      </c>
      <c r="AC13" s="144">
        <f t="shared" si="4"/>
        <v>47967.666000000005</v>
      </c>
      <c r="AD13" s="144">
        <f>SUM(AD5:AD12)</f>
        <v>47967.666000000005</v>
      </c>
      <c r="AE13" s="269">
        <f t="shared" si="2"/>
        <v>1</v>
      </c>
    </row>
    <row r="14" spans="1:31" x14ac:dyDescent="0.25">
      <c r="A14" s="56">
        <v>12</v>
      </c>
      <c r="B14" s="59"/>
      <c r="C14" s="60" t="s">
        <v>238</v>
      </c>
      <c r="D14" s="145">
        <f>SUMIF($B5:$B12,"kötelező",D5:D12)</f>
        <v>1330.1</v>
      </c>
      <c r="E14" s="145">
        <f t="shared" ref="E14:AD14" si="5">SUMIF($B5:$B12,"kötelező",E5:E12)</f>
        <v>1245.4780000000001</v>
      </c>
      <c r="F14" s="145">
        <f t="shared" si="5"/>
        <v>1245.4780000000001</v>
      </c>
      <c r="G14" s="145">
        <f t="shared" si="5"/>
        <v>0</v>
      </c>
      <c r="H14" s="145">
        <f t="shared" si="5"/>
        <v>0</v>
      </c>
      <c r="I14" s="145">
        <f t="shared" si="5"/>
        <v>0</v>
      </c>
      <c r="J14" s="145">
        <f t="shared" si="5"/>
        <v>2004</v>
      </c>
      <c r="K14" s="145">
        <f t="shared" si="5"/>
        <v>2162.855</v>
      </c>
      <c r="L14" s="145">
        <f t="shared" si="5"/>
        <v>2162.855</v>
      </c>
      <c r="M14" s="145">
        <f t="shared" si="5"/>
        <v>0</v>
      </c>
      <c r="N14" s="145">
        <f t="shared" si="5"/>
        <v>0</v>
      </c>
      <c r="O14" s="145">
        <f t="shared" si="5"/>
        <v>0</v>
      </c>
      <c r="P14" s="145">
        <f t="shared" si="5"/>
        <v>0</v>
      </c>
      <c r="Q14" s="145">
        <f t="shared" si="5"/>
        <v>0</v>
      </c>
      <c r="R14" s="145">
        <f t="shared" si="5"/>
        <v>0</v>
      </c>
      <c r="S14" s="145">
        <f t="shared" si="5"/>
        <v>0</v>
      </c>
      <c r="T14" s="145">
        <f t="shared" si="5"/>
        <v>0</v>
      </c>
      <c r="U14" s="145">
        <f t="shared" si="5"/>
        <v>0</v>
      </c>
      <c r="V14" s="145">
        <f t="shared" si="5"/>
        <v>12763.9</v>
      </c>
      <c r="W14" s="145">
        <f t="shared" si="5"/>
        <v>12836.325000000001</v>
      </c>
      <c r="X14" s="145">
        <f t="shared" si="5"/>
        <v>12836.325000000001</v>
      </c>
      <c r="Y14" s="145">
        <f t="shared" si="5"/>
        <v>0</v>
      </c>
      <c r="Z14" s="145">
        <f t="shared" si="5"/>
        <v>8.4</v>
      </c>
      <c r="AA14" s="145">
        <f t="shared" si="5"/>
        <v>8.4</v>
      </c>
      <c r="AB14" s="145">
        <f t="shared" si="5"/>
        <v>16098</v>
      </c>
      <c r="AC14" s="145">
        <f t="shared" si="5"/>
        <v>16253.058000000001</v>
      </c>
      <c r="AD14" s="145">
        <f t="shared" si="5"/>
        <v>16253.058000000001</v>
      </c>
      <c r="AE14" s="264">
        <f t="shared" si="2"/>
        <v>1</v>
      </c>
    </row>
    <row r="15" spans="1:31" x14ac:dyDescent="0.25">
      <c r="A15" s="56">
        <v>13</v>
      </c>
      <c r="B15" s="59"/>
      <c r="C15" s="60" t="s">
        <v>239</v>
      </c>
      <c r="D15" s="145">
        <f>SUMIF($B5:$B12,"nem kötelező",D5:D12)</f>
        <v>3905</v>
      </c>
      <c r="E15" s="145">
        <f t="shared" ref="E15:AC15" si="6">SUMIF($B5:$B12,"nem kötelező",E5:E12)</f>
        <v>2909.0129999999999</v>
      </c>
      <c r="F15" s="145">
        <f t="shared" si="6"/>
        <v>2909.0129999999999</v>
      </c>
      <c r="G15" s="145">
        <f t="shared" si="6"/>
        <v>0</v>
      </c>
      <c r="H15" s="145">
        <f t="shared" si="6"/>
        <v>0</v>
      </c>
      <c r="I15" s="145">
        <f t="shared" si="6"/>
        <v>0</v>
      </c>
      <c r="J15" s="145">
        <f t="shared" si="6"/>
        <v>15158</v>
      </c>
      <c r="K15" s="145">
        <f t="shared" si="6"/>
        <v>18293.702000000001</v>
      </c>
      <c r="L15" s="145">
        <f t="shared" si="6"/>
        <v>18293.702000000001</v>
      </c>
      <c r="M15" s="145">
        <f t="shared" si="6"/>
        <v>0</v>
      </c>
      <c r="N15" s="145">
        <f t="shared" si="6"/>
        <v>0</v>
      </c>
      <c r="O15" s="145">
        <f t="shared" si="6"/>
        <v>0</v>
      </c>
      <c r="P15" s="145">
        <f t="shared" si="6"/>
        <v>210</v>
      </c>
      <c r="Q15" s="145">
        <f t="shared" si="6"/>
        <v>258</v>
      </c>
      <c r="R15" s="145">
        <f t="shared" si="6"/>
        <v>258</v>
      </c>
      <c r="S15" s="145">
        <f t="shared" si="6"/>
        <v>0</v>
      </c>
      <c r="T15" s="145">
        <f t="shared" si="6"/>
        <v>0</v>
      </c>
      <c r="U15" s="145">
        <f t="shared" si="6"/>
        <v>0</v>
      </c>
      <c r="V15" s="145">
        <f t="shared" si="6"/>
        <v>10884</v>
      </c>
      <c r="W15" s="145">
        <f t="shared" si="6"/>
        <v>10253.893</v>
      </c>
      <c r="X15" s="145">
        <f t="shared" si="6"/>
        <v>10253.893</v>
      </c>
      <c r="Y15" s="145">
        <f t="shared" si="6"/>
        <v>0</v>
      </c>
      <c r="Z15" s="145">
        <f t="shared" si="6"/>
        <v>0</v>
      </c>
      <c r="AA15" s="145">
        <f t="shared" si="6"/>
        <v>0</v>
      </c>
      <c r="AB15" s="145">
        <f t="shared" si="6"/>
        <v>30157</v>
      </c>
      <c r="AC15" s="145">
        <f t="shared" si="6"/>
        <v>31714.608000000004</v>
      </c>
      <c r="AD15" s="145">
        <f>SUMIF($B5:$B12,"nem kötelező",AD5:AD12)</f>
        <v>31714.608000000004</v>
      </c>
      <c r="AE15" s="264">
        <f t="shared" si="2"/>
        <v>1</v>
      </c>
    </row>
    <row r="16" spans="1:31" x14ac:dyDescent="0.25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</sheetData>
  <mergeCells count="10">
    <mergeCell ref="V3:X3"/>
    <mergeCell ref="AB3:AE3"/>
    <mergeCell ref="C2:AE2"/>
    <mergeCell ref="D3:F3"/>
    <mergeCell ref="G3:I3"/>
    <mergeCell ref="J3:L3"/>
    <mergeCell ref="M3:O3"/>
    <mergeCell ref="P3:R3"/>
    <mergeCell ref="S3:U3"/>
    <mergeCell ref="Y3:AA3"/>
  </mergeCells>
  <printOptions horizontalCentered="1"/>
  <pageMargins left="0.70866141732283472" right="0.15748031496062992" top="0.74803149606299213" bottom="0.74803149606299213" header="0.31496062992125984" footer="0.31496062992125984"/>
  <pageSetup paperSize="8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105"/>
  <sheetViews>
    <sheetView view="pageBreakPreview" zoomScaleNormal="100" zoomScaleSheetLayoutView="100" workbookViewId="0">
      <pane xSplit="4" ySplit="4" topLeftCell="AI5" activePane="bottomRight" state="frozen"/>
      <selection pane="topRight" activeCell="D1" sqref="D1"/>
      <selection pane="bottomLeft" activeCell="A6" sqref="A6"/>
      <selection pane="bottomRight" activeCell="D2" sqref="D2:AW2"/>
    </sheetView>
  </sheetViews>
  <sheetFormatPr defaultRowHeight="15" x14ac:dyDescent="0.25"/>
  <cols>
    <col min="1" max="2" width="6" style="79" customWidth="1"/>
    <col min="3" max="3" width="15" style="79" customWidth="1"/>
    <col min="4" max="4" width="63.5703125" style="79" customWidth="1"/>
    <col min="5" max="7" width="12.42578125" style="79" customWidth="1"/>
    <col min="8" max="10" width="13.28515625" style="79" customWidth="1"/>
    <col min="11" max="11" width="13.85546875" style="79" customWidth="1"/>
    <col min="12" max="13" width="13" style="79" customWidth="1"/>
    <col min="14" max="19" width="13.5703125" style="79" customWidth="1"/>
    <col min="20" max="22" width="12.28515625" style="79" customWidth="1"/>
    <col min="23" max="28" width="13.7109375" style="79" customWidth="1"/>
    <col min="29" max="31" width="14.85546875" style="79" customWidth="1"/>
    <col min="32" max="37" width="12.28515625" style="79" customWidth="1"/>
    <col min="38" max="40" width="13" style="79" customWidth="1"/>
    <col min="41" max="42" width="14.28515625" style="79" bestFit="1" customWidth="1"/>
    <col min="43" max="43" width="14.28515625" style="79" customWidth="1"/>
    <col min="44" max="44" width="14.28515625" style="315" customWidth="1"/>
    <col min="45" max="45" width="12.5703125" style="79" bestFit="1" customWidth="1"/>
    <col min="46" max="46" width="13.7109375" style="79" bestFit="1" customWidth="1"/>
    <col min="47" max="47" width="12.42578125" style="79" bestFit="1" customWidth="1"/>
    <col min="48" max="48" width="10.85546875" style="315" bestFit="1" customWidth="1"/>
    <col min="49" max="49" width="16.42578125" style="79" customWidth="1"/>
    <col min="50" max="51" width="12.28515625" style="79" hidden="1" customWidth="1"/>
    <col min="52" max="52" width="10.140625" style="79" bestFit="1" customWidth="1"/>
    <col min="53" max="16384" width="9.140625" style="79"/>
  </cols>
  <sheetData>
    <row r="1" spans="1:51" x14ac:dyDescent="0.25">
      <c r="AI1" s="865" t="s">
        <v>1025</v>
      </c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265"/>
      <c r="AU1" s="265"/>
      <c r="AV1" s="508"/>
      <c r="AW1" s="165"/>
    </row>
    <row r="2" spans="1:51" ht="52.5" customHeight="1" x14ac:dyDescent="0.25">
      <c r="A2" s="76">
        <v>1</v>
      </c>
      <c r="B2" s="76"/>
      <c r="C2" s="76"/>
      <c r="D2" s="863" t="s">
        <v>551</v>
      </c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4"/>
      <c r="AD2" s="864"/>
      <c r="AE2" s="864"/>
      <c r="AF2" s="864"/>
      <c r="AG2" s="864"/>
      <c r="AH2" s="864"/>
      <c r="AI2" s="864"/>
      <c r="AJ2" s="864"/>
      <c r="AK2" s="864"/>
      <c r="AL2" s="864"/>
      <c r="AM2" s="864"/>
      <c r="AN2" s="864"/>
      <c r="AO2" s="864"/>
      <c r="AP2" s="864"/>
      <c r="AQ2" s="864"/>
      <c r="AR2" s="864"/>
      <c r="AS2" s="864"/>
      <c r="AT2" s="864"/>
      <c r="AU2" s="864"/>
      <c r="AV2" s="864"/>
      <c r="AW2" s="864"/>
      <c r="AX2" s="97"/>
      <c r="AY2" s="97"/>
    </row>
    <row r="3" spans="1:51" ht="72.75" customHeight="1" x14ac:dyDescent="0.25">
      <c r="A3" s="76">
        <v>2</v>
      </c>
      <c r="B3" s="76"/>
      <c r="C3" s="98" t="s">
        <v>198</v>
      </c>
      <c r="D3" s="99" t="s">
        <v>199</v>
      </c>
      <c r="E3" s="860" t="s">
        <v>91</v>
      </c>
      <c r="F3" s="861"/>
      <c r="G3" s="862"/>
      <c r="H3" s="860" t="s">
        <v>270</v>
      </c>
      <c r="I3" s="861"/>
      <c r="J3" s="862"/>
      <c r="K3" s="860" t="s">
        <v>93</v>
      </c>
      <c r="L3" s="861"/>
      <c r="M3" s="862"/>
      <c r="N3" s="860" t="s">
        <v>271</v>
      </c>
      <c r="O3" s="861"/>
      <c r="P3" s="862"/>
      <c r="Q3" s="860" t="s">
        <v>272</v>
      </c>
      <c r="R3" s="861"/>
      <c r="S3" s="862"/>
      <c r="T3" s="860" t="s">
        <v>273</v>
      </c>
      <c r="U3" s="861"/>
      <c r="V3" s="862"/>
      <c r="W3" s="860" t="s">
        <v>351</v>
      </c>
      <c r="X3" s="861"/>
      <c r="Y3" s="862"/>
      <c r="Z3" s="860" t="s">
        <v>352</v>
      </c>
      <c r="AA3" s="861"/>
      <c r="AB3" s="862"/>
      <c r="AC3" s="860" t="s">
        <v>109</v>
      </c>
      <c r="AD3" s="861"/>
      <c r="AE3" s="862"/>
      <c r="AF3" s="860" t="s">
        <v>112</v>
      </c>
      <c r="AG3" s="861"/>
      <c r="AH3" s="862"/>
      <c r="AI3" s="860" t="s">
        <v>274</v>
      </c>
      <c r="AJ3" s="861"/>
      <c r="AK3" s="862"/>
      <c r="AL3" s="860" t="s">
        <v>275</v>
      </c>
      <c r="AM3" s="861"/>
      <c r="AN3" s="862"/>
      <c r="AO3" s="860" t="s">
        <v>242</v>
      </c>
      <c r="AP3" s="861"/>
      <c r="AQ3" s="861"/>
      <c r="AR3" s="862"/>
      <c r="AS3" s="860" t="s">
        <v>276</v>
      </c>
      <c r="AT3" s="861"/>
      <c r="AU3" s="861"/>
      <c r="AV3" s="862"/>
      <c r="AW3" s="100" t="s">
        <v>277</v>
      </c>
      <c r="AX3" s="101"/>
      <c r="AY3" s="101"/>
    </row>
    <row r="4" spans="1:51" ht="30" x14ac:dyDescent="0.25">
      <c r="A4" s="76">
        <v>3</v>
      </c>
      <c r="B4" s="76"/>
      <c r="C4" s="98"/>
      <c r="D4" s="99" t="s">
        <v>278</v>
      </c>
      <c r="E4" s="102" t="s">
        <v>409</v>
      </c>
      <c r="F4" s="102" t="s">
        <v>399</v>
      </c>
      <c r="G4" s="102" t="s">
        <v>407</v>
      </c>
      <c r="H4" s="102" t="s">
        <v>409</v>
      </c>
      <c r="I4" s="102" t="s">
        <v>399</v>
      </c>
      <c r="J4" s="102" t="s">
        <v>407</v>
      </c>
      <c r="K4" s="102" t="s">
        <v>409</v>
      </c>
      <c r="L4" s="102" t="s">
        <v>399</v>
      </c>
      <c r="M4" s="102" t="s">
        <v>407</v>
      </c>
      <c r="N4" s="102" t="s">
        <v>409</v>
      </c>
      <c r="O4" s="102" t="s">
        <v>399</v>
      </c>
      <c r="P4" s="102" t="s">
        <v>407</v>
      </c>
      <c r="Q4" s="102" t="s">
        <v>409</v>
      </c>
      <c r="R4" s="102" t="s">
        <v>399</v>
      </c>
      <c r="S4" s="102" t="s">
        <v>407</v>
      </c>
      <c r="T4" s="102" t="s">
        <v>409</v>
      </c>
      <c r="U4" s="102" t="s">
        <v>399</v>
      </c>
      <c r="V4" s="102" t="s">
        <v>407</v>
      </c>
      <c r="W4" s="102" t="s">
        <v>409</v>
      </c>
      <c r="X4" s="102" t="s">
        <v>399</v>
      </c>
      <c r="Y4" s="102" t="s">
        <v>407</v>
      </c>
      <c r="Z4" s="102" t="s">
        <v>409</v>
      </c>
      <c r="AA4" s="102" t="s">
        <v>399</v>
      </c>
      <c r="AB4" s="102" t="s">
        <v>407</v>
      </c>
      <c r="AC4" s="102" t="s">
        <v>410</v>
      </c>
      <c r="AD4" s="102" t="s">
        <v>399</v>
      </c>
      <c r="AE4" s="102" t="s">
        <v>407</v>
      </c>
      <c r="AF4" s="102" t="s">
        <v>409</v>
      </c>
      <c r="AG4" s="102" t="s">
        <v>399</v>
      </c>
      <c r="AH4" s="102" t="s">
        <v>407</v>
      </c>
      <c r="AI4" s="102" t="s">
        <v>409</v>
      </c>
      <c r="AJ4" s="102" t="s">
        <v>399</v>
      </c>
      <c r="AK4" s="102" t="s">
        <v>407</v>
      </c>
      <c r="AL4" s="102" t="s">
        <v>409</v>
      </c>
      <c r="AM4" s="102" t="s">
        <v>399</v>
      </c>
      <c r="AN4" s="102" t="s">
        <v>407</v>
      </c>
      <c r="AO4" s="102" t="s">
        <v>410</v>
      </c>
      <c r="AP4" s="102" t="s">
        <v>399</v>
      </c>
      <c r="AQ4" s="102" t="s">
        <v>407</v>
      </c>
      <c r="AR4" s="313" t="s">
        <v>408</v>
      </c>
      <c r="AS4" s="102" t="s">
        <v>410</v>
      </c>
      <c r="AT4" s="102" t="s">
        <v>399</v>
      </c>
      <c r="AU4" s="102" t="s">
        <v>407</v>
      </c>
      <c r="AV4" s="313" t="s">
        <v>408</v>
      </c>
      <c r="AW4" s="102" t="s">
        <v>409</v>
      </c>
      <c r="AX4" s="102" t="s">
        <v>411</v>
      </c>
      <c r="AY4" s="102" t="s">
        <v>206</v>
      </c>
    </row>
    <row r="5" spans="1:51" x14ac:dyDescent="0.25">
      <c r="A5" s="76">
        <v>4</v>
      </c>
      <c r="B5" s="76">
        <v>504</v>
      </c>
      <c r="C5" s="76" t="s">
        <v>213</v>
      </c>
      <c r="D5" s="77" t="s">
        <v>279</v>
      </c>
      <c r="E5" s="122">
        <v>423</v>
      </c>
      <c r="F5" s="122">
        <v>423</v>
      </c>
      <c r="G5" s="122">
        <v>320.41800000000001</v>
      </c>
      <c r="H5" s="122"/>
      <c r="I5" s="122"/>
      <c r="J5" s="122"/>
      <c r="K5" s="122">
        <v>577</v>
      </c>
      <c r="L5" s="122">
        <v>527</v>
      </c>
      <c r="M5" s="122">
        <v>494.50700000000001</v>
      </c>
      <c r="N5" s="122"/>
      <c r="O5" s="122"/>
      <c r="P5" s="122"/>
      <c r="Q5" s="122"/>
      <c r="R5" s="122">
        <v>240</v>
      </c>
      <c r="S5" s="122">
        <v>240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3">
        <f t="shared" ref="AO5:AO8" si="0">AL5+AI5+AF5+AC5+W5+Q5+N5+K5+H5+E5+T5</f>
        <v>1000</v>
      </c>
      <c r="AP5" s="123">
        <f>F5+I5+L5+O5+R5+U5+X5+AA5+AD5+AG5+AJ5+AM5</f>
        <v>1190</v>
      </c>
      <c r="AQ5" s="503">
        <f>G5+J5+M5+P5+S5+V5+Y5+AB5+AE5+AH5+AK5+AN5</f>
        <v>1054.925</v>
      </c>
      <c r="AR5" s="314">
        <f>AQ5/AP5</f>
        <v>0.8864915966386554</v>
      </c>
      <c r="AS5" s="124"/>
      <c r="AT5" s="124"/>
      <c r="AU5" s="124"/>
      <c r="AV5" s="509"/>
      <c r="AW5" s="124"/>
      <c r="AX5" s="78"/>
      <c r="AY5" s="78">
        <v>4836</v>
      </c>
    </row>
    <row r="6" spans="1:51" x14ac:dyDescent="0.25">
      <c r="A6" s="76">
        <v>5</v>
      </c>
      <c r="B6" s="76">
        <v>505</v>
      </c>
      <c r="C6" s="76" t="s">
        <v>207</v>
      </c>
      <c r="D6" s="77" t="s">
        <v>323</v>
      </c>
      <c r="E6" s="122">
        <v>14074</v>
      </c>
      <c r="F6" s="122">
        <v>14250.5</v>
      </c>
      <c r="G6" s="122">
        <v>14250.487999999999</v>
      </c>
      <c r="H6" s="122">
        <v>3045</v>
      </c>
      <c r="I6" s="122">
        <v>2868.5</v>
      </c>
      <c r="J6" s="122">
        <v>2731.8049999999998</v>
      </c>
      <c r="K6" s="122">
        <v>1365</v>
      </c>
      <c r="L6" s="122">
        <v>1365</v>
      </c>
      <c r="M6" s="122">
        <v>1130.83</v>
      </c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>
        <v>50</v>
      </c>
      <c r="AD6" s="122">
        <v>50</v>
      </c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3">
        <f t="shared" si="0"/>
        <v>18534</v>
      </c>
      <c r="AP6" s="123">
        <f t="shared" ref="AP6:AQ70" si="1">F6+I6+L6+O6+R6+U6+X6+AA6+AD6+AG6+AJ6+AM6</f>
        <v>18534</v>
      </c>
      <c r="AQ6" s="503">
        <f t="shared" si="1"/>
        <v>18113.123</v>
      </c>
      <c r="AR6" s="314">
        <f t="shared" ref="AR6:AR71" si="2">AQ6/AP6</f>
        <v>0.97729162620049637</v>
      </c>
      <c r="AS6" s="124"/>
      <c r="AT6" s="124"/>
      <c r="AU6" s="124"/>
      <c r="AV6" s="509"/>
      <c r="AW6" s="124"/>
      <c r="AX6" s="78"/>
      <c r="AY6" s="78"/>
    </row>
    <row r="7" spans="1:51" x14ac:dyDescent="0.25">
      <c r="A7" s="76">
        <v>6</v>
      </c>
      <c r="B7" s="76">
        <v>507</v>
      </c>
      <c r="C7" s="76" t="s">
        <v>207</v>
      </c>
      <c r="D7" s="77" t="s">
        <v>433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>
        <v>19925</v>
      </c>
      <c r="AG7" s="122">
        <v>20320</v>
      </c>
      <c r="AH7" s="122">
        <v>20320</v>
      </c>
      <c r="AI7" s="122"/>
      <c r="AJ7" s="122"/>
      <c r="AK7" s="122"/>
      <c r="AL7" s="122"/>
      <c r="AM7" s="122"/>
      <c r="AN7" s="122"/>
      <c r="AO7" s="123">
        <f t="shared" si="0"/>
        <v>19925</v>
      </c>
      <c r="AP7" s="123">
        <f t="shared" si="1"/>
        <v>20320</v>
      </c>
      <c r="AQ7" s="503">
        <f t="shared" si="1"/>
        <v>20320</v>
      </c>
      <c r="AR7" s="314">
        <f t="shared" si="2"/>
        <v>1</v>
      </c>
      <c r="AS7" s="124"/>
      <c r="AT7" s="124"/>
      <c r="AU7" s="124"/>
      <c r="AV7" s="509"/>
      <c r="AW7" s="124"/>
      <c r="AX7" s="78"/>
      <c r="AY7" s="78"/>
    </row>
    <row r="8" spans="1:51" x14ac:dyDescent="0.25">
      <c r="A8" s="76">
        <v>7</v>
      </c>
      <c r="B8" s="76">
        <v>523</v>
      </c>
      <c r="C8" s="76" t="s">
        <v>207</v>
      </c>
      <c r="D8" s="77" t="s">
        <v>434</v>
      </c>
      <c r="E8" s="122"/>
      <c r="F8" s="122"/>
      <c r="G8" s="122"/>
      <c r="H8" s="122"/>
      <c r="I8" s="122"/>
      <c r="J8" s="122"/>
      <c r="K8" s="122"/>
      <c r="L8" s="122">
        <v>179.1</v>
      </c>
      <c r="M8" s="122">
        <v>109.645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>
        <v>10526</v>
      </c>
      <c r="AD8" s="122">
        <v>10295.5</v>
      </c>
      <c r="AE8" s="122">
        <v>10101.531999999999</v>
      </c>
      <c r="AF8" s="122"/>
      <c r="AG8" s="122"/>
      <c r="AH8" s="122"/>
      <c r="AI8" s="122"/>
      <c r="AJ8" s="122"/>
      <c r="AK8" s="122"/>
      <c r="AL8" s="122"/>
      <c r="AM8" s="122"/>
      <c r="AN8" s="122"/>
      <c r="AO8" s="123">
        <f t="shared" si="0"/>
        <v>10526</v>
      </c>
      <c r="AP8" s="123">
        <f t="shared" si="1"/>
        <v>10474.6</v>
      </c>
      <c r="AQ8" s="503">
        <f t="shared" si="1"/>
        <v>10211.177</v>
      </c>
      <c r="AR8" s="314">
        <f t="shared" si="2"/>
        <v>0.97485125923662952</v>
      </c>
      <c r="AS8" s="124"/>
      <c r="AT8" s="124"/>
      <c r="AU8" s="124"/>
      <c r="AV8" s="509"/>
      <c r="AW8" s="124"/>
      <c r="AX8" s="78"/>
      <c r="AY8" s="78"/>
    </row>
    <row r="9" spans="1:51" x14ac:dyDescent="0.25">
      <c r="A9" s="76">
        <v>8</v>
      </c>
      <c r="B9" s="76">
        <v>508</v>
      </c>
      <c r="C9" s="76" t="s">
        <v>207</v>
      </c>
      <c r="D9" s="77" t="s">
        <v>280</v>
      </c>
      <c r="E9" s="125"/>
      <c r="F9" s="125"/>
      <c r="G9" s="125"/>
      <c r="H9" s="125"/>
      <c r="I9" s="125"/>
      <c r="J9" s="125"/>
      <c r="K9" s="126">
        <v>30</v>
      </c>
      <c r="L9" s="126">
        <v>30</v>
      </c>
      <c r="M9" s="126">
        <v>28.297000000000001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>
        <v>524.20000000000005</v>
      </c>
      <c r="AH9" s="125">
        <v>524.00300000000004</v>
      </c>
      <c r="AI9" s="125"/>
      <c r="AJ9" s="125"/>
      <c r="AK9" s="125"/>
      <c r="AL9" s="125"/>
      <c r="AM9" s="125"/>
      <c r="AN9" s="125"/>
      <c r="AO9" s="123">
        <f t="shared" ref="AO9:AO69" si="3">AL9+AI9+AF9+AC9+W9+Q9+N9+K9+H9+E9+T9</f>
        <v>30</v>
      </c>
      <c r="AP9" s="123">
        <f t="shared" si="1"/>
        <v>554.20000000000005</v>
      </c>
      <c r="AQ9" s="503">
        <f t="shared" si="1"/>
        <v>552.30000000000007</v>
      </c>
      <c r="AR9" s="314">
        <f t="shared" si="2"/>
        <v>0.99657163478888489</v>
      </c>
      <c r="AS9" s="124"/>
      <c r="AT9" s="124"/>
      <c r="AU9" s="124"/>
      <c r="AV9" s="509"/>
      <c r="AW9" s="124"/>
      <c r="AX9" s="78"/>
      <c r="AY9" s="78">
        <v>176</v>
      </c>
    </row>
    <row r="10" spans="1:51" x14ac:dyDescent="0.25">
      <c r="A10" s="76">
        <v>9</v>
      </c>
      <c r="B10" s="76">
        <v>509</v>
      </c>
      <c r="C10" s="76" t="s">
        <v>207</v>
      </c>
      <c r="D10" s="77" t="s">
        <v>281</v>
      </c>
      <c r="E10" s="125"/>
      <c r="F10" s="125"/>
      <c r="G10" s="125"/>
      <c r="H10" s="125"/>
      <c r="I10" s="125"/>
      <c r="J10" s="125"/>
      <c r="K10" s="126">
        <v>526</v>
      </c>
      <c r="L10" s="126">
        <v>620.20000000000005</v>
      </c>
      <c r="M10" s="126">
        <v>619.97500000000002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7">
        <v>500</v>
      </c>
      <c r="AG10" s="127">
        <v>1158.9359999999999</v>
      </c>
      <c r="AH10" s="127">
        <f>1158.536-35</f>
        <v>1123.5360000000001</v>
      </c>
      <c r="AI10" s="125"/>
      <c r="AJ10" s="125"/>
      <c r="AK10" s="125"/>
      <c r="AL10" s="125"/>
      <c r="AM10" s="125"/>
      <c r="AN10" s="125"/>
      <c r="AO10" s="123">
        <f t="shared" si="3"/>
        <v>1026</v>
      </c>
      <c r="AP10" s="123">
        <f t="shared" si="1"/>
        <v>1779.136</v>
      </c>
      <c r="AQ10" s="503">
        <f t="shared" si="1"/>
        <v>1743.511</v>
      </c>
      <c r="AR10" s="314">
        <f t="shared" si="2"/>
        <v>0.97997623565595882</v>
      </c>
      <c r="AS10" s="124"/>
      <c r="AT10" s="124"/>
      <c r="AU10" s="124"/>
      <c r="AV10" s="509"/>
      <c r="AW10" s="124"/>
      <c r="AX10" s="78"/>
      <c r="AY10" s="78">
        <v>10154</v>
      </c>
    </row>
    <row r="11" spans="1:51" x14ac:dyDescent="0.25">
      <c r="A11" s="76">
        <v>10</v>
      </c>
      <c r="B11" s="76">
        <v>514</v>
      </c>
      <c r="C11" s="76" t="s">
        <v>207</v>
      </c>
      <c r="D11" s="77" t="s">
        <v>282</v>
      </c>
      <c r="E11" s="125"/>
      <c r="F11" s="125"/>
      <c r="G11" s="125"/>
      <c r="H11" s="125"/>
      <c r="I11" s="125"/>
      <c r="J11" s="125"/>
      <c r="K11" s="126">
        <v>665</v>
      </c>
      <c r="L11" s="126">
        <v>997</v>
      </c>
      <c r="M11" s="126">
        <v>332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3">
        <f t="shared" si="3"/>
        <v>665</v>
      </c>
      <c r="AP11" s="123">
        <f t="shared" si="1"/>
        <v>997</v>
      </c>
      <c r="AQ11" s="503">
        <f t="shared" si="1"/>
        <v>332</v>
      </c>
      <c r="AR11" s="314">
        <f t="shared" si="2"/>
        <v>0.33299899699097291</v>
      </c>
      <c r="AS11" s="124"/>
      <c r="AT11" s="124"/>
      <c r="AU11" s="124"/>
      <c r="AV11" s="509"/>
      <c r="AW11" s="124"/>
      <c r="AX11" s="78"/>
      <c r="AY11" s="78">
        <v>512</v>
      </c>
    </row>
    <row r="12" spans="1:51" x14ac:dyDescent="0.25">
      <c r="A12" s="76">
        <v>11</v>
      </c>
      <c r="B12" s="76">
        <v>515</v>
      </c>
      <c r="C12" s="76" t="s">
        <v>207</v>
      </c>
      <c r="D12" s="77" t="s">
        <v>283</v>
      </c>
      <c r="E12" s="125"/>
      <c r="F12" s="125"/>
      <c r="G12" s="125"/>
      <c r="H12" s="125"/>
      <c r="I12" s="125"/>
      <c r="J12" s="125"/>
      <c r="K12" s="126">
        <v>9426</v>
      </c>
      <c r="L12" s="126">
        <v>9696.8140000000003</v>
      </c>
      <c r="M12" s="126">
        <v>9131.9599999999991</v>
      </c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>
        <v>190.2</v>
      </c>
      <c r="AE12" s="125">
        <v>190.119</v>
      </c>
      <c r="AF12" s="125"/>
      <c r="AG12" s="125"/>
      <c r="AH12" s="125"/>
      <c r="AI12" s="125"/>
      <c r="AJ12" s="125"/>
      <c r="AK12" s="125"/>
      <c r="AL12" s="125"/>
      <c r="AM12" s="125"/>
      <c r="AN12" s="125"/>
      <c r="AO12" s="123">
        <f t="shared" si="3"/>
        <v>9426</v>
      </c>
      <c r="AP12" s="123">
        <f t="shared" si="1"/>
        <v>9887.014000000001</v>
      </c>
      <c r="AQ12" s="503">
        <f t="shared" si="1"/>
        <v>9322.0789999999997</v>
      </c>
      <c r="AR12" s="314">
        <f t="shared" si="2"/>
        <v>0.94286090825804425</v>
      </c>
      <c r="AS12" s="124"/>
      <c r="AT12" s="124"/>
      <c r="AU12" s="124"/>
      <c r="AV12" s="509"/>
      <c r="AW12" s="124"/>
      <c r="AX12" s="78"/>
      <c r="AY12" s="78">
        <v>9765</v>
      </c>
    </row>
    <row r="13" spans="1:51" x14ac:dyDescent="0.25">
      <c r="A13" s="76">
        <v>12</v>
      </c>
      <c r="B13" s="76">
        <v>517</v>
      </c>
      <c r="C13" s="76" t="s">
        <v>213</v>
      </c>
      <c r="D13" s="77" t="s">
        <v>435</v>
      </c>
      <c r="E13" s="125"/>
      <c r="F13" s="125"/>
      <c r="G13" s="125"/>
      <c r="H13" s="125"/>
      <c r="I13" s="125"/>
      <c r="J13" s="125"/>
      <c r="K13" s="126"/>
      <c r="L13" s="126"/>
      <c r="M13" s="126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6"/>
      <c r="AD13" s="126"/>
      <c r="AE13" s="126"/>
      <c r="AF13" s="125"/>
      <c r="AG13" s="125"/>
      <c r="AH13" s="125"/>
      <c r="AI13" s="125">
        <v>3829</v>
      </c>
      <c r="AJ13" s="125">
        <v>4343.6189999999997</v>
      </c>
      <c r="AK13" s="125"/>
      <c r="AL13" s="125"/>
      <c r="AM13" s="125"/>
      <c r="AN13" s="125"/>
      <c r="AO13" s="123">
        <f t="shared" si="3"/>
        <v>3829</v>
      </c>
      <c r="AP13" s="123">
        <f t="shared" si="1"/>
        <v>4343.6189999999997</v>
      </c>
      <c r="AQ13" s="123">
        <f t="shared" si="1"/>
        <v>0</v>
      </c>
      <c r="AR13" s="314">
        <f t="shared" si="2"/>
        <v>0</v>
      </c>
      <c r="AS13" s="124"/>
      <c r="AT13" s="124"/>
      <c r="AU13" s="124"/>
      <c r="AV13" s="509"/>
      <c r="AW13" s="124"/>
      <c r="AX13" s="78"/>
      <c r="AY13" s="78"/>
    </row>
    <row r="14" spans="1:51" x14ac:dyDescent="0.25">
      <c r="A14" s="76">
        <v>13</v>
      </c>
      <c r="B14" s="76">
        <v>516</v>
      </c>
      <c r="C14" s="76" t="s">
        <v>213</v>
      </c>
      <c r="D14" s="77" t="s">
        <v>303</v>
      </c>
      <c r="E14" s="125"/>
      <c r="F14" s="125"/>
      <c r="G14" s="125"/>
      <c r="H14" s="125"/>
      <c r="I14" s="125"/>
      <c r="J14" s="125"/>
      <c r="K14" s="126"/>
      <c r="L14" s="126"/>
      <c r="M14" s="126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6">
        <v>1824</v>
      </c>
      <c r="AJ14" s="126">
        <v>5612.38</v>
      </c>
      <c r="AK14" s="126"/>
      <c r="AL14" s="125"/>
      <c r="AM14" s="125"/>
      <c r="AN14" s="125"/>
      <c r="AO14" s="123">
        <f t="shared" si="3"/>
        <v>1824</v>
      </c>
      <c r="AP14" s="123">
        <f t="shared" si="1"/>
        <v>5612.38</v>
      </c>
      <c r="AQ14" s="123">
        <f t="shared" si="1"/>
        <v>0</v>
      </c>
      <c r="AR14" s="314">
        <f t="shared" si="2"/>
        <v>0</v>
      </c>
      <c r="AS14" s="124"/>
      <c r="AT14" s="124"/>
      <c r="AU14" s="124"/>
      <c r="AV14" s="509"/>
      <c r="AW14" s="124"/>
      <c r="AX14" s="78"/>
      <c r="AY14" s="78"/>
    </row>
    <row r="15" spans="1:51" x14ac:dyDescent="0.25">
      <c r="A15" s="76">
        <v>14</v>
      </c>
      <c r="B15" s="76">
        <v>518</v>
      </c>
      <c r="C15" s="76" t="s">
        <v>213</v>
      </c>
      <c r="D15" s="77" t="s">
        <v>307</v>
      </c>
      <c r="E15" s="125"/>
      <c r="F15" s="125"/>
      <c r="G15" s="125"/>
      <c r="H15" s="125"/>
      <c r="I15" s="125"/>
      <c r="J15" s="125"/>
      <c r="K15" s="126"/>
      <c r="L15" s="126"/>
      <c r="M15" s="126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6">
        <v>10951.066999999999</v>
      </c>
      <c r="AJ15" s="126">
        <v>56724.343999999997</v>
      </c>
      <c r="AK15" s="126"/>
      <c r="AL15" s="125"/>
      <c r="AM15" s="125"/>
      <c r="AN15" s="125"/>
      <c r="AO15" s="123">
        <f t="shared" si="3"/>
        <v>10951.066999999999</v>
      </c>
      <c r="AP15" s="123">
        <f t="shared" si="1"/>
        <v>56724.343999999997</v>
      </c>
      <c r="AQ15" s="123">
        <f t="shared" si="1"/>
        <v>0</v>
      </c>
      <c r="AR15" s="314">
        <f t="shared" si="2"/>
        <v>0</v>
      </c>
      <c r="AS15" s="124"/>
      <c r="AT15" s="124"/>
      <c r="AU15" s="124"/>
      <c r="AV15" s="509"/>
      <c r="AW15" s="124"/>
      <c r="AX15" s="78"/>
      <c r="AY15" s="78"/>
    </row>
    <row r="16" spans="1:51" x14ac:dyDescent="0.25">
      <c r="A16" s="76">
        <v>15</v>
      </c>
      <c r="B16" s="76">
        <v>550</v>
      </c>
      <c r="C16" s="76" t="s">
        <v>213</v>
      </c>
      <c r="D16" s="77" t="s">
        <v>436</v>
      </c>
      <c r="E16" s="125"/>
      <c r="F16" s="125"/>
      <c r="G16" s="125"/>
      <c r="H16" s="125"/>
      <c r="I16" s="125"/>
      <c r="J16" s="125"/>
      <c r="K16" s="126"/>
      <c r="L16" s="126"/>
      <c r="M16" s="126"/>
      <c r="N16" s="126">
        <v>2000</v>
      </c>
      <c r="O16" s="126">
        <v>2000</v>
      </c>
      <c r="P16" s="483">
        <v>1118.4000000000001</v>
      </c>
      <c r="Q16" s="126"/>
      <c r="R16" s="126"/>
      <c r="S16" s="126"/>
      <c r="T16" s="126"/>
      <c r="U16" s="126"/>
      <c r="V16" s="126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3">
        <f t="shared" si="3"/>
        <v>2000</v>
      </c>
      <c r="AP16" s="123">
        <f t="shared" si="1"/>
        <v>2000</v>
      </c>
      <c r="AQ16" s="503">
        <f t="shared" si="1"/>
        <v>1118.4000000000001</v>
      </c>
      <c r="AR16" s="314">
        <f t="shared" si="2"/>
        <v>0.55920000000000003</v>
      </c>
      <c r="AS16" s="124"/>
      <c r="AT16" s="124"/>
      <c r="AU16" s="124"/>
      <c r="AV16" s="509"/>
      <c r="AW16" s="124"/>
      <c r="AX16" s="78"/>
      <c r="AY16" s="78">
        <v>1425</v>
      </c>
    </row>
    <row r="17" spans="1:51" x14ac:dyDescent="0.25">
      <c r="A17" s="76">
        <v>16</v>
      </c>
      <c r="B17" s="76">
        <v>524</v>
      </c>
      <c r="C17" s="76" t="s">
        <v>213</v>
      </c>
      <c r="D17" s="77" t="s">
        <v>335</v>
      </c>
      <c r="E17" s="125"/>
      <c r="F17" s="125"/>
      <c r="G17" s="125"/>
      <c r="H17" s="125"/>
      <c r="I17" s="125"/>
      <c r="J17" s="125"/>
      <c r="K17" s="126"/>
      <c r="L17" s="126"/>
      <c r="M17" s="126"/>
      <c r="N17" s="126">
        <v>150</v>
      </c>
      <c r="O17" s="126">
        <v>199.7</v>
      </c>
      <c r="P17" s="483">
        <v>199.64</v>
      </c>
      <c r="Q17" s="126"/>
      <c r="R17" s="126"/>
      <c r="S17" s="126"/>
      <c r="T17" s="126"/>
      <c r="U17" s="126"/>
      <c r="V17" s="126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3">
        <f t="shared" si="3"/>
        <v>150</v>
      </c>
      <c r="AP17" s="123">
        <f t="shared" si="1"/>
        <v>199.7</v>
      </c>
      <c r="AQ17" s="503">
        <f t="shared" si="1"/>
        <v>199.64</v>
      </c>
      <c r="AR17" s="314">
        <f t="shared" si="2"/>
        <v>0.99969954932398597</v>
      </c>
      <c r="AS17" s="124"/>
      <c r="AT17" s="124"/>
      <c r="AU17" s="124"/>
      <c r="AV17" s="509"/>
      <c r="AW17" s="124"/>
      <c r="AX17" s="78"/>
      <c r="AY17" s="78">
        <v>96</v>
      </c>
    </row>
    <row r="18" spans="1:51" x14ac:dyDescent="0.25">
      <c r="A18" s="76">
        <v>17</v>
      </c>
      <c r="B18" s="76">
        <v>521</v>
      </c>
      <c r="C18" s="76" t="s">
        <v>213</v>
      </c>
      <c r="D18" s="77" t="s">
        <v>333</v>
      </c>
      <c r="E18" s="125"/>
      <c r="F18" s="125"/>
      <c r="G18" s="125"/>
      <c r="H18" s="125"/>
      <c r="I18" s="125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>
        <v>520</v>
      </c>
      <c r="U18" s="126">
        <v>520</v>
      </c>
      <c r="V18" s="126">
        <v>500</v>
      </c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3">
        <f t="shared" si="3"/>
        <v>520</v>
      </c>
      <c r="AP18" s="123">
        <f t="shared" si="1"/>
        <v>520</v>
      </c>
      <c r="AQ18" s="503">
        <f t="shared" si="1"/>
        <v>500</v>
      </c>
      <c r="AR18" s="314">
        <f t="shared" si="2"/>
        <v>0.96153846153846156</v>
      </c>
      <c r="AS18" s="124"/>
      <c r="AT18" s="124"/>
      <c r="AU18" s="124"/>
      <c r="AV18" s="509"/>
      <c r="AW18" s="124"/>
      <c r="AX18" s="78"/>
      <c r="AY18" s="78">
        <v>250</v>
      </c>
    </row>
    <row r="19" spans="1:51" x14ac:dyDescent="0.25">
      <c r="A19" s="76">
        <v>18</v>
      </c>
      <c r="B19" s="76">
        <v>522</v>
      </c>
      <c r="C19" s="76" t="s">
        <v>213</v>
      </c>
      <c r="D19" s="77" t="s">
        <v>284</v>
      </c>
      <c r="E19" s="125"/>
      <c r="F19" s="125"/>
      <c r="G19" s="125"/>
      <c r="H19" s="125"/>
      <c r="I19" s="125"/>
      <c r="J19" s="125"/>
      <c r="K19" s="126"/>
      <c r="L19" s="126"/>
      <c r="M19" s="126"/>
      <c r="N19" s="126">
        <v>100</v>
      </c>
      <c r="O19" s="126">
        <v>100</v>
      </c>
      <c r="P19" s="483">
        <v>55</v>
      </c>
      <c r="Q19" s="126"/>
      <c r="R19" s="126"/>
      <c r="S19" s="126"/>
      <c r="T19" s="126"/>
      <c r="U19" s="126"/>
      <c r="V19" s="126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3">
        <f t="shared" si="3"/>
        <v>100</v>
      </c>
      <c r="AP19" s="123">
        <f t="shared" si="1"/>
        <v>100</v>
      </c>
      <c r="AQ19" s="503">
        <f t="shared" si="1"/>
        <v>55</v>
      </c>
      <c r="AR19" s="314">
        <f t="shared" si="2"/>
        <v>0.55000000000000004</v>
      </c>
      <c r="AS19" s="124"/>
      <c r="AT19" s="124"/>
      <c r="AU19" s="124"/>
      <c r="AV19" s="509"/>
      <c r="AW19" s="124"/>
      <c r="AX19" s="78"/>
      <c r="AY19" s="78">
        <v>80</v>
      </c>
    </row>
    <row r="20" spans="1:51" x14ac:dyDescent="0.25">
      <c r="A20" s="76">
        <v>19</v>
      </c>
      <c r="B20" s="76">
        <v>519</v>
      </c>
      <c r="C20" s="76" t="s">
        <v>207</v>
      </c>
      <c r="D20" s="77" t="s">
        <v>437</v>
      </c>
      <c r="E20" s="125"/>
      <c r="F20" s="125"/>
      <c r="G20" s="125"/>
      <c r="H20" s="125"/>
      <c r="I20" s="125"/>
      <c r="J20" s="125"/>
      <c r="K20" s="126"/>
      <c r="L20" s="126">
        <v>1.21</v>
      </c>
      <c r="M20" s="126">
        <v>1.2</v>
      </c>
      <c r="N20" s="126">
        <v>1000</v>
      </c>
      <c r="O20" s="126">
        <v>6041.83</v>
      </c>
      <c r="P20" s="483">
        <v>6041.6080000000002</v>
      </c>
      <c r="Q20" s="126"/>
      <c r="R20" s="126"/>
      <c r="S20" s="126"/>
      <c r="T20" s="126"/>
      <c r="U20" s="126"/>
      <c r="V20" s="126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3">
        <f t="shared" si="3"/>
        <v>1000</v>
      </c>
      <c r="AP20" s="123">
        <f t="shared" si="1"/>
        <v>6043.04</v>
      </c>
      <c r="AQ20" s="503">
        <f t="shared" si="1"/>
        <v>6042.808</v>
      </c>
      <c r="AR20" s="314">
        <f t="shared" si="2"/>
        <v>0.99996160872673356</v>
      </c>
      <c r="AS20" s="124"/>
      <c r="AT20" s="124"/>
      <c r="AU20" s="124"/>
      <c r="AV20" s="509"/>
      <c r="AW20" s="124"/>
      <c r="AX20" s="78"/>
      <c r="AY20" s="78">
        <v>146</v>
      </c>
    </row>
    <row r="21" spans="1:51" x14ac:dyDescent="0.25">
      <c r="A21" s="76">
        <v>20</v>
      </c>
      <c r="B21" s="76">
        <v>517</v>
      </c>
      <c r="C21" s="76" t="s">
        <v>207</v>
      </c>
      <c r="D21" s="77" t="s">
        <v>438</v>
      </c>
      <c r="E21" s="125"/>
      <c r="F21" s="125"/>
      <c r="G21" s="125"/>
      <c r="H21" s="125"/>
      <c r="I21" s="125"/>
      <c r="J21" s="125"/>
      <c r="K21" s="126"/>
      <c r="L21" s="126"/>
      <c r="M21" s="126"/>
      <c r="N21" s="126">
        <v>300</v>
      </c>
      <c r="O21" s="126">
        <v>250.3</v>
      </c>
      <c r="P21" s="483">
        <v>103</v>
      </c>
      <c r="Q21" s="126"/>
      <c r="R21" s="126"/>
      <c r="S21" s="126"/>
      <c r="T21" s="126"/>
      <c r="U21" s="126"/>
      <c r="V21" s="126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3">
        <f t="shared" si="3"/>
        <v>300</v>
      </c>
      <c r="AP21" s="123">
        <f t="shared" si="1"/>
        <v>250.3</v>
      </c>
      <c r="AQ21" s="503">
        <f t="shared" si="1"/>
        <v>103</v>
      </c>
      <c r="AR21" s="314">
        <f t="shared" si="2"/>
        <v>0.4115061925689173</v>
      </c>
      <c r="AS21" s="124"/>
      <c r="AT21" s="124"/>
      <c r="AU21" s="124"/>
      <c r="AV21" s="509"/>
      <c r="AW21" s="124"/>
      <c r="AX21" s="78"/>
      <c r="AY21" s="78">
        <v>132</v>
      </c>
    </row>
    <row r="22" spans="1:51" x14ac:dyDescent="0.25">
      <c r="A22" s="76">
        <v>21</v>
      </c>
      <c r="B22" s="76">
        <v>550</v>
      </c>
      <c r="C22" s="76" t="s">
        <v>207</v>
      </c>
      <c r="D22" s="77" t="s">
        <v>439</v>
      </c>
      <c r="E22" s="125"/>
      <c r="F22" s="125"/>
      <c r="G22" s="125"/>
      <c r="H22" s="125"/>
      <c r="I22" s="125"/>
      <c r="J22" s="125"/>
      <c r="K22" s="126"/>
      <c r="L22" s="126"/>
      <c r="M22" s="126"/>
      <c r="N22" s="126">
        <v>300</v>
      </c>
      <c r="O22" s="126">
        <v>300</v>
      </c>
      <c r="P22" s="483">
        <v>140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49"/>
      <c r="AG22" s="149"/>
      <c r="AH22" s="149"/>
      <c r="AI22" s="123"/>
      <c r="AJ22" s="123"/>
      <c r="AK22" s="123"/>
      <c r="AL22" s="128"/>
      <c r="AM22" s="128"/>
      <c r="AN22" s="128"/>
      <c r="AO22" s="123">
        <f>AL22+AI22+AF22+AC22+W22+Q22+N22+K22+H22+E22+T22</f>
        <v>300</v>
      </c>
      <c r="AP22" s="123">
        <f t="shared" si="1"/>
        <v>300</v>
      </c>
      <c r="AQ22" s="503">
        <f t="shared" si="1"/>
        <v>140</v>
      </c>
      <c r="AR22" s="314">
        <f t="shared" si="2"/>
        <v>0.46666666666666667</v>
      </c>
      <c r="AS22" s="128"/>
      <c r="AT22" s="128"/>
      <c r="AU22" s="128"/>
      <c r="AV22" s="510"/>
      <c r="AW22" s="128"/>
      <c r="AX22" s="103"/>
      <c r="AY22" s="150">
        <v>10579</v>
      </c>
    </row>
    <row r="23" spans="1:51" x14ac:dyDescent="0.25">
      <c r="A23" s="76">
        <v>22</v>
      </c>
      <c r="B23" s="76">
        <v>525</v>
      </c>
      <c r="C23" s="76" t="s">
        <v>207</v>
      </c>
      <c r="D23" s="77" t="s">
        <v>285</v>
      </c>
      <c r="E23" s="125"/>
      <c r="F23" s="125"/>
      <c r="G23" s="125"/>
      <c r="H23" s="125"/>
      <c r="I23" s="125"/>
      <c r="J23" s="125"/>
      <c r="K23" s="126"/>
      <c r="L23" s="126"/>
      <c r="M23" s="126"/>
      <c r="N23" s="126">
        <v>400</v>
      </c>
      <c r="O23" s="126">
        <v>400</v>
      </c>
      <c r="P23" s="483">
        <v>234.91200000000001</v>
      </c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49"/>
      <c r="AG23" s="149"/>
      <c r="AH23" s="149"/>
      <c r="AI23" s="123"/>
      <c r="AJ23" s="123"/>
      <c r="AK23" s="123"/>
      <c r="AL23" s="128"/>
      <c r="AM23" s="128"/>
      <c r="AN23" s="128"/>
      <c r="AO23" s="123">
        <f>AL23+AI23+AF23+AC23+W23+Q23+N23+K23+H23+E23+T23</f>
        <v>400</v>
      </c>
      <c r="AP23" s="123">
        <f t="shared" si="1"/>
        <v>400</v>
      </c>
      <c r="AQ23" s="503">
        <f t="shared" si="1"/>
        <v>234.91200000000001</v>
      </c>
      <c r="AR23" s="314">
        <f t="shared" si="2"/>
        <v>0.58728000000000002</v>
      </c>
      <c r="AS23" s="128"/>
      <c r="AT23" s="128"/>
      <c r="AU23" s="128"/>
      <c r="AV23" s="510"/>
      <c r="AW23" s="128"/>
      <c r="AX23" s="103"/>
      <c r="AY23" s="150"/>
    </row>
    <row r="24" spans="1:51" x14ac:dyDescent="0.25">
      <c r="A24" s="76">
        <v>23</v>
      </c>
      <c r="B24" s="76">
        <v>520</v>
      </c>
      <c r="C24" s="76" t="s">
        <v>213</v>
      </c>
      <c r="D24" s="77" t="s">
        <v>440</v>
      </c>
      <c r="E24" s="125"/>
      <c r="F24" s="125"/>
      <c r="G24" s="125"/>
      <c r="H24" s="125"/>
      <c r="I24" s="125"/>
      <c r="J24" s="125"/>
      <c r="K24" s="126"/>
      <c r="L24" s="126"/>
      <c r="M24" s="126"/>
      <c r="N24" s="126">
        <v>150</v>
      </c>
      <c r="O24" s="126">
        <v>108.89</v>
      </c>
      <c r="P24" s="483">
        <v>92.135000000000005</v>
      </c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49"/>
      <c r="AG24" s="149"/>
      <c r="AH24" s="149"/>
      <c r="AI24" s="123"/>
      <c r="AJ24" s="123"/>
      <c r="AK24" s="123"/>
      <c r="AL24" s="128"/>
      <c r="AM24" s="128"/>
      <c r="AN24" s="128"/>
      <c r="AO24" s="123">
        <f>AL24+AI24+AF24+AC24+W24+Q24+N24+K24+H24+E24+T24</f>
        <v>150</v>
      </c>
      <c r="AP24" s="123">
        <f t="shared" si="1"/>
        <v>108.89</v>
      </c>
      <c r="AQ24" s="503">
        <f t="shared" si="1"/>
        <v>92.135000000000005</v>
      </c>
      <c r="AR24" s="314">
        <f t="shared" si="2"/>
        <v>0.84612912113141703</v>
      </c>
      <c r="AS24" s="128"/>
      <c r="AT24" s="128"/>
      <c r="AU24" s="128"/>
      <c r="AV24" s="510"/>
      <c r="AW24" s="128"/>
      <c r="AX24" s="103"/>
      <c r="AY24" s="150"/>
    </row>
    <row r="25" spans="1:51" x14ac:dyDescent="0.25">
      <c r="A25" s="76">
        <v>24</v>
      </c>
      <c r="B25" s="76">
        <v>537</v>
      </c>
      <c r="C25" s="76" t="s">
        <v>213</v>
      </c>
      <c r="D25" s="77" t="s">
        <v>441</v>
      </c>
      <c r="E25" s="125"/>
      <c r="F25" s="125"/>
      <c r="G25" s="125"/>
      <c r="H25" s="125"/>
      <c r="I25" s="125"/>
      <c r="J25" s="125"/>
      <c r="K25" s="126"/>
      <c r="L25" s="126">
        <v>39.9</v>
      </c>
      <c r="M25" s="126">
        <v>39.869999999999997</v>
      </c>
      <c r="N25" s="126">
        <v>1000</v>
      </c>
      <c r="O25" s="126">
        <v>1000</v>
      </c>
      <c r="P25" s="483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49"/>
      <c r="AG25" s="149"/>
      <c r="AH25" s="149"/>
      <c r="AI25" s="123"/>
      <c r="AJ25" s="123"/>
      <c r="AK25" s="123"/>
      <c r="AL25" s="128"/>
      <c r="AM25" s="128"/>
      <c r="AN25" s="128"/>
      <c r="AO25" s="123">
        <f>AL25+AI25+AF25+AC25+W25+Q25+N25+K25+H25+E25+T25</f>
        <v>1000</v>
      </c>
      <c r="AP25" s="123">
        <f t="shared" si="1"/>
        <v>1039.9000000000001</v>
      </c>
      <c r="AQ25" s="123">
        <f t="shared" si="1"/>
        <v>39.869999999999997</v>
      </c>
      <c r="AR25" s="314">
        <f t="shared" si="2"/>
        <v>3.8340225021636691E-2</v>
      </c>
      <c r="AS25" s="128"/>
      <c r="AT25" s="128"/>
      <c r="AU25" s="128"/>
      <c r="AV25" s="510"/>
      <c r="AW25" s="128"/>
      <c r="AX25" s="103"/>
      <c r="AY25" s="150"/>
    </row>
    <row r="26" spans="1:51" x14ac:dyDescent="0.25">
      <c r="A26" s="76">
        <v>25</v>
      </c>
      <c r="B26" s="76">
        <v>526</v>
      </c>
      <c r="C26" s="76" t="s">
        <v>213</v>
      </c>
      <c r="D26" s="77" t="s">
        <v>286</v>
      </c>
      <c r="E26" s="125"/>
      <c r="F26" s="125"/>
      <c r="G26" s="125"/>
      <c r="H26" s="125"/>
      <c r="I26" s="125"/>
      <c r="J26" s="125"/>
      <c r="K26" s="126"/>
      <c r="L26" s="126">
        <v>150</v>
      </c>
      <c r="M26" s="126">
        <v>150</v>
      </c>
      <c r="N26" s="125"/>
      <c r="O26" s="125"/>
      <c r="P26" s="125"/>
      <c r="Q26" s="125">
        <v>4000</v>
      </c>
      <c r="R26" s="125">
        <v>4330</v>
      </c>
      <c r="S26" s="125">
        <v>4330</v>
      </c>
      <c r="T26" s="125"/>
      <c r="U26" s="125"/>
      <c r="V26" s="125"/>
      <c r="W26" s="126"/>
      <c r="X26" s="126"/>
      <c r="Y26" s="126"/>
      <c r="Z26" s="126"/>
      <c r="AA26" s="126"/>
      <c r="AB26" s="126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3">
        <f t="shared" si="3"/>
        <v>4000</v>
      </c>
      <c r="AP26" s="123">
        <f t="shared" si="1"/>
        <v>4480</v>
      </c>
      <c r="AQ26" s="503">
        <f t="shared" si="1"/>
        <v>4480</v>
      </c>
      <c r="AR26" s="314">
        <f t="shared" si="2"/>
        <v>1</v>
      </c>
      <c r="AS26" s="124"/>
      <c r="AT26" s="124"/>
      <c r="AU26" s="124"/>
      <c r="AV26" s="509"/>
      <c r="AW26" s="124"/>
      <c r="AX26" s="78"/>
      <c r="AY26" s="78">
        <v>2140</v>
      </c>
    </row>
    <row r="27" spans="1:51" x14ac:dyDescent="0.25">
      <c r="A27" s="76">
        <v>26</v>
      </c>
      <c r="B27" s="76">
        <v>527</v>
      </c>
      <c r="C27" s="76" t="s">
        <v>207</v>
      </c>
      <c r="D27" s="77" t="s">
        <v>442</v>
      </c>
      <c r="E27" s="129">
        <v>19138</v>
      </c>
      <c r="F27" s="129">
        <v>19138</v>
      </c>
      <c r="G27" s="129">
        <v>16143.54</v>
      </c>
      <c r="H27" s="129">
        <v>1910</v>
      </c>
      <c r="I27" s="129">
        <v>1910</v>
      </c>
      <c r="J27" s="129">
        <v>1617.12</v>
      </c>
      <c r="K27" s="127"/>
      <c r="L27" s="127"/>
      <c r="M27" s="127"/>
      <c r="N27" s="129"/>
      <c r="O27" s="129"/>
      <c r="P27" s="129"/>
      <c r="Q27" s="129"/>
      <c r="R27" s="129"/>
      <c r="S27" s="129"/>
      <c r="T27" s="129"/>
      <c r="U27" s="129"/>
      <c r="V27" s="129"/>
      <c r="W27" s="127"/>
      <c r="X27" s="127"/>
      <c r="Y27" s="127"/>
      <c r="Z27" s="127"/>
      <c r="AA27" s="127"/>
      <c r="AB27" s="127"/>
      <c r="AC27" s="129"/>
      <c r="AD27" s="129"/>
      <c r="AE27" s="129"/>
      <c r="AF27" s="125"/>
      <c r="AG27" s="125"/>
      <c r="AH27" s="125"/>
      <c r="AI27" s="125"/>
      <c r="AJ27" s="125"/>
      <c r="AK27" s="125"/>
      <c r="AL27" s="125"/>
      <c r="AM27" s="125"/>
      <c r="AN27" s="125"/>
      <c r="AO27" s="123">
        <f t="shared" si="3"/>
        <v>21048</v>
      </c>
      <c r="AP27" s="123">
        <f t="shared" si="1"/>
        <v>21048</v>
      </c>
      <c r="AQ27" s="503">
        <f t="shared" si="1"/>
        <v>17760.66</v>
      </c>
      <c r="AR27" s="314">
        <f t="shared" si="2"/>
        <v>0.84381698973774233</v>
      </c>
      <c r="AS27" s="124"/>
      <c r="AT27" s="124"/>
      <c r="AU27" s="124"/>
      <c r="AV27" s="509"/>
      <c r="AW27" s="124"/>
      <c r="AX27" s="78">
        <v>8595</v>
      </c>
      <c r="AY27" s="78">
        <v>9949</v>
      </c>
    </row>
    <row r="28" spans="1:51" x14ac:dyDescent="0.25">
      <c r="A28" s="76">
        <v>27</v>
      </c>
      <c r="B28" s="76">
        <v>528</v>
      </c>
      <c r="C28" s="76" t="s">
        <v>207</v>
      </c>
      <c r="D28" s="77" t="s">
        <v>287</v>
      </c>
      <c r="E28" s="127">
        <v>67125</v>
      </c>
      <c r="F28" s="127">
        <v>66410</v>
      </c>
      <c r="G28" s="127">
        <v>65403.800999999999</v>
      </c>
      <c r="H28" s="127">
        <v>7128</v>
      </c>
      <c r="I28" s="127">
        <v>7128</v>
      </c>
      <c r="J28" s="127">
        <v>6973.0439999999999</v>
      </c>
      <c r="K28" s="127">
        <v>14669</v>
      </c>
      <c r="L28" s="127">
        <v>16439.599999999999</v>
      </c>
      <c r="M28" s="127">
        <v>16438.460999999999</v>
      </c>
      <c r="N28" s="129"/>
      <c r="O28" s="129"/>
      <c r="P28" s="129"/>
      <c r="Q28" s="129"/>
      <c r="R28" s="129"/>
      <c r="S28" s="129"/>
      <c r="T28" s="129"/>
      <c r="U28" s="129"/>
      <c r="V28" s="129"/>
      <c r="W28" s="127"/>
      <c r="X28" s="127"/>
      <c r="Y28" s="127"/>
      <c r="Z28" s="127"/>
      <c r="AA28" s="127"/>
      <c r="AB28" s="127"/>
      <c r="AC28" s="129">
        <v>2383</v>
      </c>
      <c r="AD28" s="129">
        <v>1327.4</v>
      </c>
      <c r="AE28" s="129">
        <v>1327.28</v>
      </c>
      <c r="AF28" s="125"/>
      <c r="AG28" s="125"/>
      <c r="AH28" s="125"/>
      <c r="AI28" s="125"/>
      <c r="AJ28" s="125"/>
      <c r="AK28" s="125"/>
      <c r="AL28" s="125"/>
      <c r="AM28" s="125"/>
      <c r="AN28" s="125"/>
      <c r="AO28" s="123">
        <f t="shared" si="3"/>
        <v>91305</v>
      </c>
      <c r="AP28" s="123">
        <f t="shared" si="1"/>
        <v>91305</v>
      </c>
      <c r="AQ28" s="503">
        <f t="shared" si="1"/>
        <v>90142.585999999996</v>
      </c>
      <c r="AR28" s="314">
        <f t="shared" si="2"/>
        <v>0.9872688899841191</v>
      </c>
      <c r="AS28" s="124"/>
      <c r="AT28" s="124"/>
      <c r="AU28" s="124"/>
      <c r="AV28" s="509"/>
      <c r="AW28" s="124"/>
      <c r="AX28" s="78">
        <v>120201</v>
      </c>
      <c r="AY28" s="78">
        <v>69860</v>
      </c>
    </row>
    <row r="29" spans="1:51" x14ac:dyDescent="0.25">
      <c r="A29" s="76">
        <v>28</v>
      </c>
      <c r="B29" s="76">
        <v>529</v>
      </c>
      <c r="C29" s="76" t="s">
        <v>207</v>
      </c>
      <c r="D29" s="77" t="s">
        <v>332</v>
      </c>
      <c r="E29" s="129"/>
      <c r="F29" s="129"/>
      <c r="G29" s="129"/>
      <c r="H29" s="129"/>
      <c r="I29" s="129"/>
      <c r="J29" s="129"/>
      <c r="K29" s="127">
        <v>100</v>
      </c>
      <c r="L29" s="127">
        <v>100</v>
      </c>
      <c r="M29" s="127">
        <v>9.7560000000000002</v>
      </c>
      <c r="N29" s="129"/>
      <c r="O29" s="129"/>
      <c r="P29" s="129"/>
      <c r="Q29" s="129"/>
      <c r="R29" s="129"/>
      <c r="S29" s="129"/>
      <c r="T29" s="129">
        <v>3000</v>
      </c>
      <c r="U29" s="129">
        <v>3000</v>
      </c>
      <c r="V29" s="484">
        <v>2705.4119999999998</v>
      </c>
      <c r="W29" s="129"/>
      <c r="X29" s="129"/>
      <c r="Y29" s="129"/>
      <c r="Z29" s="129"/>
      <c r="AA29" s="129"/>
      <c r="AB29" s="129"/>
      <c r="AC29" s="129"/>
      <c r="AD29" s="129"/>
      <c r="AE29" s="129"/>
      <c r="AF29" s="125"/>
      <c r="AG29" s="125"/>
      <c r="AH29" s="125"/>
      <c r="AI29" s="125"/>
      <c r="AJ29" s="125"/>
      <c r="AK29" s="125"/>
      <c r="AL29" s="125">
        <v>10927.733</v>
      </c>
      <c r="AM29" s="125">
        <v>10927.733</v>
      </c>
      <c r="AN29" s="125">
        <v>10927.733</v>
      </c>
      <c r="AO29" s="123">
        <f t="shared" si="3"/>
        <v>14027.733</v>
      </c>
      <c r="AP29" s="123">
        <f t="shared" si="1"/>
        <v>14027.733</v>
      </c>
      <c r="AQ29" s="503">
        <f t="shared" si="1"/>
        <v>13642.901</v>
      </c>
      <c r="AR29" s="314">
        <f t="shared" si="2"/>
        <v>0.97256634411276577</v>
      </c>
      <c r="AS29" s="124"/>
      <c r="AT29" s="124"/>
      <c r="AU29" s="124"/>
      <c r="AV29" s="509"/>
      <c r="AW29" s="124"/>
      <c r="AX29" s="78"/>
      <c r="AY29" s="78"/>
    </row>
    <row r="30" spans="1:51" x14ac:dyDescent="0.25">
      <c r="A30" s="76">
        <v>29</v>
      </c>
      <c r="B30" s="76">
        <v>535</v>
      </c>
      <c r="C30" s="76" t="s">
        <v>207</v>
      </c>
      <c r="D30" s="77" t="s">
        <v>288</v>
      </c>
      <c r="E30" s="129">
        <v>1600</v>
      </c>
      <c r="F30" s="129">
        <v>3707.12</v>
      </c>
      <c r="G30" s="129">
        <v>3856.3229999999999</v>
      </c>
      <c r="H30" s="129">
        <v>312</v>
      </c>
      <c r="I30" s="129">
        <v>819.49</v>
      </c>
      <c r="J30" s="129">
        <v>819.41099999999994</v>
      </c>
      <c r="K30" s="127">
        <v>16672</v>
      </c>
      <c r="L30" s="127">
        <v>15613.56</v>
      </c>
      <c r="M30" s="127">
        <v>12292.004999999999</v>
      </c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>
        <v>165.8</v>
      </c>
      <c r="AE30" s="129">
        <v>165.70599999999999</v>
      </c>
      <c r="AF30" s="125"/>
      <c r="AG30" s="125"/>
      <c r="AH30" s="125"/>
      <c r="AI30" s="125"/>
      <c r="AJ30" s="125"/>
      <c r="AK30" s="125"/>
      <c r="AL30" s="125"/>
      <c r="AM30" s="125"/>
      <c r="AN30" s="125"/>
      <c r="AO30" s="123">
        <f t="shared" si="3"/>
        <v>18584</v>
      </c>
      <c r="AP30" s="123">
        <f t="shared" si="1"/>
        <v>20305.969999999998</v>
      </c>
      <c r="AQ30" s="503">
        <f t="shared" si="1"/>
        <v>17133.444999999996</v>
      </c>
      <c r="AR30" s="314">
        <f t="shared" si="2"/>
        <v>0.84376392755431029</v>
      </c>
      <c r="AS30" s="124"/>
      <c r="AT30" s="124"/>
      <c r="AU30" s="124"/>
      <c r="AV30" s="509"/>
      <c r="AW30" s="124"/>
      <c r="AX30" s="78"/>
      <c r="AY30" s="78">
        <v>29133</v>
      </c>
    </row>
    <row r="31" spans="1:51" x14ac:dyDescent="0.25">
      <c r="A31" s="76">
        <v>30</v>
      </c>
      <c r="B31" s="76">
        <v>506</v>
      </c>
      <c r="C31" s="76" t="s">
        <v>207</v>
      </c>
      <c r="D31" s="77" t="s">
        <v>443</v>
      </c>
      <c r="E31" s="129"/>
      <c r="F31" s="129"/>
      <c r="G31" s="129"/>
      <c r="H31" s="129"/>
      <c r="I31" s="129"/>
      <c r="J31" s="129"/>
      <c r="K31" s="127"/>
      <c r="L31" s="127"/>
      <c r="M31" s="127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5">
        <v>2218</v>
      </c>
      <c r="AG31" s="125">
        <v>2795.3</v>
      </c>
      <c r="AH31" s="125">
        <v>2795.27</v>
      </c>
      <c r="AI31" s="125"/>
      <c r="AJ31" s="125"/>
      <c r="AK31" s="125"/>
      <c r="AL31" s="125"/>
      <c r="AM31" s="125"/>
      <c r="AN31" s="125"/>
      <c r="AO31" s="123">
        <f t="shared" si="3"/>
        <v>2218</v>
      </c>
      <c r="AP31" s="123">
        <f t="shared" si="1"/>
        <v>2795.3</v>
      </c>
      <c r="AQ31" s="503">
        <f t="shared" si="1"/>
        <v>2795.27</v>
      </c>
      <c r="AR31" s="314">
        <f t="shared" si="2"/>
        <v>0.99998926769935237</v>
      </c>
      <c r="AS31" s="124"/>
      <c r="AT31" s="124"/>
      <c r="AU31" s="124"/>
      <c r="AV31" s="509"/>
      <c r="AW31" s="124"/>
      <c r="AX31" s="78"/>
      <c r="AY31" s="78"/>
    </row>
    <row r="32" spans="1:51" x14ac:dyDescent="0.25">
      <c r="A32" s="76">
        <v>31</v>
      </c>
      <c r="B32" s="76">
        <v>538</v>
      </c>
      <c r="C32" s="76" t="s">
        <v>207</v>
      </c>
      <c r="D32" s="77" t="s">
        <v>289</v>
      </c>
      <c r="E32" s="129"/>
      <c r="F32" s="129"/>
      <c r="G32" s="129"/>
      <c r="H32" s="129"/>
      <c r="I32" s="129"/>
      <c r="J32" s="129"/>
      <c r="K32" s="127">
        <v>1440</v>
      </c>
      <c r="L32" s="127">
        <v>1500</v>
      </c>
      <c r="M32" s="127">
        <v>1380</v>
      </c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>
        <v>500</v>
      </c>
      <c r="AD32" s="129">
        <v>500</v>
      </c>
      <c r="AE32" s="129">
        <v>453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3">
        <f t="shared" si="3"/>
        <v>1940</v>
      </c>
      <c r="AP32" s="123">
        <f t="shared" si="1"/>
        <v>2000</v>
      </c>
      <c r="AQ32" s="503">
        <f t="shared" si="1"/>
        <v>1833</v>
      </c>
      <c r="AR32" s="314">
        <f t="shared" si="2"/>
        <v>0.91649999999999998</v>
      </c>
      <c r="AS32" s="124"/>
      <c r="AT32" s="124"/>
      <c r="AU32" s="124"/>
      <c r="AV32" s="509"/>
      <c r="AW32" s="124"/>
      <c r="AX32" s="78"/>
      <c r="AY32" s="78"/>
    </row>
    <row r="33" spans="1:52" x14ac:dyDescent="0.25">
      <c r="A33" s="76">
        <v>32</v>
      </c>
      <c r="B33" s="76">
        <v>539</v>
      </c>
      <c r="C33" s="76" t="s">
        <v>207</v>
      </c>
      <c r="D33" s="77" t="s">
        <v>308</v>
      </c>
      <c r="E33" s="129"/>
      <c r="F33" s="129"/>
      <c r="G33" s="129"/>
      <c r="H33" s="129"/>
      <c r="I33" s="129"/>
      <c r="J33" s="129"/>
      <c r="K33" s="127">
        <v>147</v>
      </c>
      <c r="L33" s="127">
        <v>147</v>
      </c>
      <c r="M33" s="127">
        <v>50.987000000000002</v>
      </c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5"/>
      <c r="AG33" s="125"/>
      <c r="AH33" s="125"/>
      <c r="AI33" s="125"/>
      <c r="AJ33" s="125"/>
      <c r="AK33" s="125"/>
      <c r="AL33" s="125"/>
      <c r="AM33" s="125"/>
      <c r="AN33" s="125"/>
      <c r="AO33" s="123">
        <f t="shared" si="3"/>
        <v>147</v>
      </c>
      <c r="AP33" s="123">
        <f t="shared" si="1"/>
        <v>147</v>
      </c>
      <c r="AQ33" s="503">
        <f t="shared" si="1"/>
        <v>50.987000000000002</v>
      </c>
      <c r="AR33" s="314">
        <f t="shared" si="2"/>
        <v>0.34685034013605442</v>
      </c>
      <c r="AS33" s="124"/>
      <c r="AT33" s="124"/>
      <c r="AU33" s="124"/>
      <c r="AV33" s="509"/>
      <c r="AW33" s="124"/>
      <c r="AX33" s="78"/>
      <c r="AY33" s="78">
        <v>3</v>
      </c>
    </row>
    <row r="34" spans="1:52" x14ac:dyDescent="0.25">
      <c r="A34" s="76">
        <v>33</v>
      </c>
      <c r="B34" s="76">
        <v>541</v>
      </c>
      <c r="C34" s="76" t="s">
        <v>213</v>
      </c>
      <c r="D34" s="77" t="s">
        <v>290</v>
      </c>
      <c r="E34" s="129">
        <v>275</v>
      </c>
      <c r="F34" s="129">
        <v>275</v>
      </c>
      <c r="G34" s="129"/>
      <c r="H34" s="129">
        <v>49</v>
      </c>
      <c r="I34" s="129">
        <v>49</v>
      </c>
      <c r="J34" s="129"/>
      <c r="K34" s="127">
        <v>60</v>
      </c>
      <c r="L34" s="127">
        <v>60</v>
      </c>
      <c r="M34" s="127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5"/>
      <c r="AG34" s="125"/>
      <c r="AH34" s="125"/>
      <c r="AI34" s="125"/>
      <c r="AJ34" s="125"/>
      <c r="AK34" s="125"/>
      <c r="AL34" s="125"/>
      <c r="AM34" s="125"/>
      <c r="AN34" s="125"/>
      <c r="AO34" s="123">
        <f t="shared" si="3"/>
        <v>384</v>
      </c>
      <c r="AP34" s="123">
        <f t="shared" si="1"/>
        <v>384</v>
      </c>
      <c r="AQ34" s="123">
        <f t="shared" si="1"/>
        <v>0</v>
      </c>
      <c r="AR34" s="314">
        <f t="shared" si="2"/>
        <v>0</v>
      </c>
      <c r="AS34" s="124"/>
      <c r="AT34" s="124"/>
      <c r="AU34" s="124"/>
      <c r="AV34" s="509"/>
      <c r="AW34" s="124"/>
      <c r="AX34" s="78"/>
      <c r="AY34" s="78">
        <v>66</v>
      </c>
    </row>
    <row r="35" spans="1:52" x14ac:dyDescent="0.25">
      <c r="A35" s="76">
        <v>34</v>
      </c>
      <c r="B35" s="76">
        <v>542</v>
      </c>
      <c r="C35" s="76" t="s">
        <v>207</v>
      </c>
      <c r="D35" s="77" t="s">
        <v>324</v>
      </c>
      <c r="E35" s="129"/>
      <c r="F35" s="129"/>
      <c r="G35" s="129"/>
      <c r="H35" s="129"/>
      <c r="I35" s="129"/>
      <c r="J35" s="129"/>
      <c r="K35" s="127"/>
      <c r="L35" s="127"/>
      <c r="M35" s="127"/>
      <c r="N35" s="129"/>
      <c r="O35" s="129"/>
      <c r="P35" s="129"/>
      <c r="Q35" s="129">
        <v>17445</v>
      </c>
      <c r="R35" s="129">
        <v>21002.544999999998</v>
      </c>
      <c r="S35" s="129">
        <v>21002.544999999998</v>
      </c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5"/>
      <c r="AG35" s="125"/>
      <c r="AH35" s="125"/>
      <c r="AI35" s="125"/>
      <c r="AJ35" s="125"/>
      <c r="AK35" s="125"/>
      <c r="AL35" s="125"/>
      <c r="AM35" s="125"/>
      <c r="AN35" s="125"/>
      <c r="AO35" s="123">
        <f t="shared" si="3"/>
        <v>17445</v>
      </c>
      <c r="AP35" s="123">
        <f t="shared" si="1"/>
        <v>21002.544999999998</v>
      </c>
      <c r="AQ35" s="503">
        <f t="shared" si="1"/>
        <v>21002.544999999998</v>
      </c>
      <c r="AR35" s="314">
        <f t="shared" si="2"/>
        <v>1</v>
      </c>
      <c r="AS35" s="124"/>
      <c r="AT35" s="124"/>
      <c r="AU35" s="124"/>
      <c r="AV35" s="509"/>
      <c r="AW35" s="124"/>
      <c r="AX35" s="78"/>
      <c r="AY35" s="78">
        <v>12020</v>
      </c>
      <c r="AZ35" s="79">
        <f>SUM(AZ21:AZ34)</f>
        <v>0</v>
      </c>
    </row>
    <row r="36" spans="1:52" x14ac:dyDescent="0.25">
      <c r="A36" s="76">
        <v>35</v>
      </c>
      <c r="B36" s="76">
        <v>543</v>
      </c>
      <c r="C36" s="76" t="s">
        <v>207</v>
      </c>
      <c r="D36" s="77" t="s">
        <v>291</v>
      </c>
      <c r="E36" s="129"/>
      <c r="F36" s="129"/>
      <c r="G36" s="129"/>
      <c r="H36" s="129"/>
      <c r="I36" s="129"/>
      <c r="J36" s="129"/>
      <c r="K36" s="127">
        <v>12394</v>
      </c>
      <c r="L36" s="127">
        <v>12394</v>
      </c>
      <c r="M36" s="127">
        <v>12381.001</v>
      </c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5"/>
      <c r="AG36" s="125"/>
      <c r="AH36" s="125"/>
      <c r="AI36" s="125"/>
      <c r="AJ36" s="125"/>
      <c r="AK36" s="125"/>
      <c r="AL36" s="125"/>
      <c r="AM36" s="125"/>
      <c r="AN36" s="125"/>
      <c r="AO36" s="123">
        <f t="shared" si="3"/>
        <v>12394</v>
      </c>
      <c r="AP36" s="123">
        <f t="shared" si="1"/>
        <v>12394</v>
      </c>
      <c r="AQ36" s="503">
        <f t="shared" si="1"/>
        <v>12381.001</v>
      </c>
      <c r="AR36" s="314">
        <f t="shared" si="2"/>
        <v>0.99895118605776989</v>
      </c>
      <c r="AS36" s="124"/>
      <c r="AT36" s="124"/>
      <c r="AU36" s="124"/>
      <c r="AV36" s="509"/>
      <c r="AW36" s="124"/>
      <c r="AX36" s="78"/>
      <c r="AY36" s="78">
        <v>13436</v>
      </c>
    </row>
    <row r="37" spans="1:52" x14ac:dyDescent="0.25">
      <c r="A37" s="76">
        <v>36</v>
      </c>
      <c r="B37" s="76">
        <v>544</v>
      </c>
      <c r="C37" s="76" t="s">
        <v>207</v>
      </c>
      <c r="D37" s="77" t="s">
        <v>292</v>
      </c>
      <c r="E37" s="129"/>
      <c r="F37" s="129"/>
      <c r="G37" s="129"/>
      <c r="H37" s="129"/>
      <c r="I37" s="129"/>
      <c r="J37" s="129"/>
      <c r="K37" s="127">
        <v>32263</v>
      </c>
      <c r="L37" s="127">
        <v>32269.585999999999</v>
      </c>
      <c r="M37" s="127">
        <v>27730.062000000002</v>
      </c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5"/>
      <c r="AG37" s="125"/>
      <c r="AH37" s="125"/>
      <c r="AI37" s="125"/>
      <c r="AJ37" s="125"/>
      <c r="AK37" s="125"/>
      <c r="AL37" s="125"/>
      <c r="AM37" s="125"/>
      <c r="AN37" s="125"/>
      <c r="AO37" s="123">
        <f t="shared" si="3"/>
        <v>32263</v>
      </c>
      <c r="AP37" s="123">
        <f t="shared" si="1"/>
        <v>32269.585999999999</v>
      </c>
      <c r="AQ37" s="503">
        <f t="shared" si="1"/>
        <v>27730.062000000002</v>
      </c>
      <c r="AR37" s="314">
        <f t="shared" si="2"/>
        <v>0.85932500032693326</v>
      </c>
      <c r="AS37" s="124"/>
      <c r="AT37" s="124"/>
      <c r="AU37" s="124"/>
      <c r="AV37" s="509"/>
      <c r="AW37" s="124"/>
      <c r="AX37" s="78"/>
      <c r="AY37" s="78">
        <v>42409</v>
      </c>
    </row>
    <row r="38" spans="1:52" x14ac:dyDescent="0.25">
      <c r="A38" s="76">
        <v>37</v>
      </c>
      <c r="B38" s="76">
        <v>545</v>
      </c>
      <c r="C38" s="76" t="s">
        <v>207</v>
      </c>
      <c r="D38" s="77" t="s">
        <v>326</v>
      </c>
      <c r="E38" s="129">
        <v>73</v>
      </c>
      <c r="F38" s="129">
        <v>611.97900000000004</v>
      </c>
      <c r="G38" s="129">
        <v>611.97900000000004</v>
      </c>
      <c r="H38" s="129">
        <v>12.8</v>
      </c>
      <c r="I38" s="129">
        <v>117.911</v>
      </c>
      <c r="J38" s="129">
        <v>117.911</v>
      </c>
      <c r="K38" s="127">
        <v>1047.7</v>
      </c>
      <c r="L38" s="127">
        <v>1047.673</v>
      </c>
      <c r="M38" s="127">
        <v>1047.673</v>
      </c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5"/>
      <c r="AG38" s="125"/>
      <c r="AH38" s="125"/>
      <c r="AI38" s="125"/>
      <c r="AJ38" s="125"/>
      <c r="AK38" s="125"/>
      <c r="AL38" s="125"/>
      <c r="AM38" s="125"/>
      <c r="AN38" s="125"/>
      <c r="AO38" s="123">
        <f t="shared" si="3"/>
        <v>1133.5</v>
      </c>
      <c r="AP38" s="123">
        <f t="shared" si="1"/>
        <v>1777.5630000000001</v>
      </c>
      <c r="AQ38" s="503">
        <f t="shared" si="1"/>
        <v>1777.5630000000001</v>
      </c>
      <c r="AR38" s="314">
        <f t="shared" si="2"/>
        <v>1</v>
      </c>
      <c r="AS38" s="124"/>
      <c r="AT38" s="124"/>
      <c r="AU38" s="124"/>
      <c r="AV38" s="509"/>
      <c r="AW38" s="124"/>
      <c r="AX38" s="78"/>
      <c r="AY38" s="78"/>
    </row>
    <row r="39" spans="1:52" x14ac:dyDescent="0.25">
      <c r="A39" s="76">
        <v>38</v>
      </c>
      <c r="B39" s="76"/>
      <c r="C39" s="76" t="s">
        <v>207</v>
      </c>
      <c r="D39" s="77" t="s">
        <v>444</v>
      </c>
      <c r="E39" s="129"/>
      <c r="F39" s="129"/>
      <c r="G39" s="129"/>
      <c r="H39" s="129"/>
      <c r="I39" s="129"/>
      <c r="J39" s="129"/>
      <c r="K39" s="127"/>
      <c r="L39" s="127"/>
      <c r="M39" s="127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>
        <v>1800</v>
      </c>
      <c r="AD39" s="129">
        <v>1862</v>
      </c>
      <c r="AE39" s="129">
        <v>1862</v>
      </c>
      <c r="AF39" s="125"/>
      <c r="AG39" s="125"/>
      <c r="AH39" s="125"/>
      <c r="AI39" s="125"/>
      <c r="AJ39" s="125"/>
      <c r="AK39" s="125"/>
      <c r="AL39" s="125"/>
      <c r="AM39" s="125"/>
      <c r="AN39" s="125"/>
      <c r="AO39" s="123">
        <f t="shared" si="3"/>
        <v>1800</v>
      </c>
      <c r="AP39" s="123">
        <f t="shared" si="1"/>
        <v>1862</v>
      </c>
      <c r="AQ39" s="503">
        <f t="shared" si="1"/>
        <v>1862</v>
      </c>
      <c r="AR39" s="314">
        <f t="shared" si="2"/>
        <v>1</v>
      </c>
      <c r="AS39" s="124"/>
      <c r="AT39" s="124"/>
      <c r="AU39" s="124"/>
      <c r="AV39" s="509"/>
      <c r="AW39" s="124"/>
      <c r="AX39" s="78"/>
      <c r="AY39" s="78"/>
    </row>
    <row r="40" spans="1:52" x14ac:dyDescent="0.25">
      <c r="A40" s="76">
        <v>39</v>
      </c>
      <c r="B40" s="76">
        <v>546</v>
      </c>
      <c r="C40" s="76" t="s">
        <v>207</v>
      </c>
      <c r="D40" s="146" t="s">
        <v>329</v>
      </c>
      <c r="E40" s="129"/>
      <c r="F40" s="129"/>
      <c r="G40" s="129"/>
      <c r="H40" s="129"/>
      <c r="I40" s="129"/>
      <c r="J40" s="129"/>
      <c r="K40" s="127">
        <v>1128</v>
      </c>
      <c r="L40" s="127">
        <v>1128</v>
      </c>
      <c r="M40" s="127">
        <v>1127.472</v>
      </c>
      <c r="N40" s="129"/>
      <c r="O40" s="129"/>
      <c r="P40" s="129"/>
      <c r="Q40" s="129"/>
      <c r="R40" s="129"/>
      <c r="S40" s="129"/>
      <c r="T40" s="129">
        <v>2903</v>
      </c>
      <c r="U40" s="129">
        <v>2903</v>
      </c>
      <c r="V40" s="129">
        <v>2902.491</v>
      </c>
      <c r="W40" s="129"/>
      <c r="X40" s="129"/>
      <c r="Y40" s="129"/>
      <c r="Z40" s="129"/>
      <c r="AA40" s="129"/>
      <c r="AB40" s="129"/>
      <c r="AC40" s="129"/>
      <c r="AD40" s="129"/>
      <c r="AE40" s="129"/>
      <c r="AF40" s="125"/>
      <c r="AG40" s="125"/>
      <c r="AH40" s="125"/>
      <c r="AI40" s="125"/>
      <c r="AJ40" s="125"/>
      <c r="AK40" s="125"/>
      <c r="AL40" s="125"/>
      <c r="AM40" s="125"/>
      <c r="AN40" s="125"/>
      <c r="AO40" s="123">
        <f t="shared" si="3"/>
        <v>4031</v>
      </c>
      <c r="AP40" s="123">
        <f t="shared" si="1"/>
        <v>4031</v>
      </c>
      <c r="AQ40" s="503">
        <f t="shared" si="1"/>
        <v>4029.9629999999997</v>
      </c>
      <c r="AR40" s="314">
        <f t="shared" si="2"/>
        <v>0.99974274373604555</v>
      </c>
      <c r="AS40" s="124"/>
      <c r="AT40" s="124"/>
      <c r="AU40" s="124"/>
      <c r="AV40" s="509"/>
      <c r="AW40" s="124"/>
      <c r="AX40" s="78"/>
      <c r="AY40" s="78">
        <v>706</v>
      </c>
    </row>
    <row r="41" spans="1:52" x14ac:dyDescent="0.25">
      <c r="A41" s="76">
        <v>40</v>
      </c>
      <c r="B41" s="76">
        <v>547</v>
      </c>
      <c r="C41" s="76" t="s">
        <v>213</v>
      </c>
      <c r="D41" s="77" t="s">
        <v>328</v>
      </c>
      <c r="E41" s="129"/>
      <c r="F41" s="129"/>
      <c r="G41" s="129"/>
      <c r="H41" s="129"/>
      <c r="I41" s="129"/>
      <c r="J41" s="129"/>
      <c r="K41" s="127">
        <v>446</v>
      </c>
      <c r="L41" s="127">
        <v>696</v>
      </c>
      <c r="M41" s="127">
        <v>681.52499999999998</v>
      </c>
      <c r="N41" s="129"/>
      <c r="O41" s="129"/>
      <c r="P41" s="129"/>
      <c r="Q41" s="129">
        <v>250</v>
      </c>
      <c r="R41" s="129">
        <v>0</v>
      </c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5"/>
      <c r="AG41" s="125"/>
      <c r="AH41" s="125"/>
      <c r="AI41" s="125"/>
      <c r="AJ41" s="125"/>
      <c r="AK41" s="125"/>
      <c r="AL41" s="125"/>
      <c r="AM41" s="125"/>
      <c r="AN41" s="125"/>
      <c r="AO41" s="123">
        <f t="shared" si="3"/>
        <v>696</v>
      </c>
      <c r="AP41" s="123">
        <f t="shared" si="1"/>
        <v>696</v>
      </c>
      <c r="AQ41" s="503">
        <f t="shared" si="1"/>
        <v>681.52499999999998</v>
      </c>
      <c r="AR41" s="314">
        <f t="shared" si="2"/>
        <v>0.97920258620689649</v>
      </c>
      <c r="AS41" s="124"/>
      <c r="AT41" s="124"/>
      <c r="AU41" s="124"/>
      <c r="AV41" s="509"/>
      <c r="AW41" s="124"/>
      <c r="AX41" s="78"/>
      <c r="AY41" s="78">
        <v>1171</v>
      </c>
    </row>
    <row r="42" spans="1:52" x14ac:dyDescent="0.25">
      <c r="A42" s="76">
        <v>41</v>
      </c>
      <c r="B42" s="76">
        <v>552</v>
      </c>
      <c r="C42" s="76" t="s">
        <v>207</v>
      </c>
      <c r="D42" s="77" t="s">
        <v>327</v>
      </c>
      <c r="E42" s="129"/>
      <c r="F42" s="129"/>
      <c r="G42" s="129"/>
      <c r="H42" s="129"/>
      <c r="I42" s="129"/>
      <c r="J42" s="129"/>
      <c r="K42" s="127">
        <v>410</v>
      </c>
      <c r="L42" s="127">
        <v>374.9</v>
      </c>
      <c r="M42" s="127">
        <v>371.20699999999999</v>
      </c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5"/>
      <c r="AG42" s="125">
        <v>35.1</v>
      </c>
      <c r="AH42" s="125">
        <v>35</v>
      </c>
      <c r="AI42" s="125"/>
      <c r="AJ42" s="125"/>
      <c r="AK42" s="125"/>
      <c r="AL42" s="125"/>
      <c r="AM42" s="125"/>
      <c r="AN42" s="125"/>
      <c r="AO42" s="123">
        <f t="shared" si="3"/>
        <v>410</v>
      </c>
      <c r="AP42" s="123">
        <f t="shared" si="1"/>
        <v>410</v>
      </c>
      <c r="AQ42" s="503">
        <f t="shared" si="1"/>
        <v>406.20699999999999</v>
      </c>
      <c r="AR42" s="314">
        <f t="shared" si="2"/>
        <v>0.9907487804878049</v>
      </c>
      <c r="AS42" s="124"/>
      <c r="AT42" s="124"/>
      <c r="AU42" s="124"/>
      <c r="AV42" s="509"/>
      <c r="AW42" s="124"/>
      <c r="AX42" s="78"/>
      <c r="AY42" s="78">
        <v>1551</v>
      </c>
    </row>
    <row r="43" spans="1:52" x14ac:dyDescent="0.25">
      <c r="A43" s="76">
        <v>42</v>
      </c>
      <c r="B43" s="76">
        <v>553</v>
      </c>
      <c r="C43" s="76" t="s">
        <v>207</v>
      </c>
      <c r="D43" s="77" t="s">
        <v>309</v>
      </c>
      <c r="E43" s="129"/>
      <c r="F43" s="129"/>
      <c r="G43" s="129"/>
      <c r="H43" s="129"/>
      <c r="I43" s="129"/>
      <c r="J43" s="129"/>
      <c r="K43" s="127">
        <v>626</v>
      </c>
      <c r="L43" s="127">
        <v>626</v>
      </c>
      <c r="M43" s="127">
        <v>406.4</v>
      </c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5"/>
      <c r="AG43" s="125"/>
      <c r="AH43" s="125"/>
      <c r="AI43" s="125"/>
      <c r="AJ43" s="125"/>
      <c r="AK43" s="125"/>
      <c r="AL43" s="125"/>
      <c r="AM43" s="125"/>
      <c r="AN43" s="125"/>
      <c r="AO43" s="123">
        <f t="shared" si="3"/>
        <v>626</v>
      </c>
      <c r="AP43" s="123">
        <f t="shared" si="1"/>
        <v>626</v>
      </c>
      <c r="AQ43" s="503">
        <f t="shared" si="1"/>
        <v>406.4</v>
      </c>
      <c r="AR43" s="314">
        <f t="shared" si="2"/>
        <v>0.64920127795527149</v>
      </c>
      <c r="AS43" s="124"/>
      <c r="AT43" s="124"/>
      <c r="AU43" s="124"/>
      <c r="AV43" s="509"/>
      <c r="AW43" s="124"/>
      <c r="AX43" s="78"/>
      <c r="AY43" s="78">
        <v>4552</v>
      </c>
    </row>
    <row r="44" spans="1:52" x14ac:dyDescent="0.25">
      <c r="A44" s="76">
        <v>43</v>
      </c>
      <c r="B44" s="76">
        <v>548</v>
      </c>
      <c r="C44" s="76" t="s">
        <v>207</v>
      </c>
      <c r="D44" s="77" t="s">
        <v>331</v>
      </c>
      <c r="E44" s="129"/>
      <c r="F44" s="129"/>
      <c r="G44" s="129"/>
      <c r="H44" s="129"/>
      <c r="I44" s="129"/>
      <c r="J44" s="129"/>
      <c r="K44" s="127">
        <v>500</v>
      </c>
      <c r="L44" s="127">
        <v>500</v>
      </c>
      <c r="M44" s="127"/>
      <c r="N44" s="129"/>
      <c r="O44" s="129"/>
      <c r="P44" s="129"/>
      <c r="Q44" s="129">
        <v>5285</v>
      </c>
      <c r="R44" s="129">
        <v>85</v>
      </c>
      <c r="S44" s="129">
        <v>71.183000000000007</v>
      </c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5"/>
      <c r="AG44" s="125"/>
      <c r="AH44" s="125"/>
      <c r="AI44" s="125"/>
      <c r="AJ44" s="125"/>
      <c r="AK44" s="125"/>
      <c r="AL44" s="125"/>
      <c r="AM44" s="125"/>
      <c r="AN44" s="125"/>
      <c r="AO44" s="123">
        <f t="shared" si="3"/>
        <v>5785</v>
      </c>
      <c r="AP44" s="123">
        <f t="shared" si="1"/>
        <v>585</v>
      </c>
      <c r="AQ44" s="503">
        <f t="shared" si="1"/>
        <v>71.183000000000007</v>
      </c>
      <c r="AR44" s="314">
        <f t="shared" si="2"/>
        <v>0.12168034188034189</v>
      </c>
      <c r="AS44" s="124"/>
      <c r="AT44" s="124"/>
      <c r="AU44" s="124"/>
      <c r="AV44" s="509"/>
      <c r="AW44" s="124"/>
      <c r="AX44" s="78"/>
      <c r="AY44" s="78"/>
    </row>
    <row r="45" spans="1:52" ht="15.75" x14ac:dyDescent="0.25">
      <c r="A45" s="76">
        <v>44</v>
      </c>
      <c r="B45" s="76"/>
      <c r="C45" s="76" t="s">
        <v>207</v>
      </c>
      <c r="D45" s="77" t="s">
        <v>445</v>
      </c>
      <c r="E45" s="129"/>
      <c r="F45" s="129"/>
      <c r="G45" s="129"/>
      <c r="H45" s="129"/>
      <c r="I45" s="129"/>
      <c r="J45" s="129"/>
      <c r="K45" s="127"/>
      <c r="L45" s="127"/>
      <c r="M45" s="127"/>
      <c r="N45" s="129"/>
      <c r="O45" s="129"/>
      <c r="P45" s="129"/>
      <c r="Q45" s="129">
        <v>12.1</v>
      </c>
      <c r="R45" s="129">
        <v>12.1</v>
      </c>
      <c r="S45" s="129">
        <v>12.1</v>
      </c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5"/>
      <c r="AG45" s="125"/>
      <c r="AH45" s="125"/>
      <c r="AI45" s="125"/>
      <c r="AJ45" s="125"/>
      <c r="AK45" s="125"/>
      <c r="AL45" s="125"/>
      <c r="AM45" s="125"/>
      <c r="AN45" s="125"/>
      <c r="AO45" s="123">
        <f t="shared" si="3"/>
        <v>12.1</v>
      </c>
      <c r="AP45" s="123">
        <f t="shared" si="1"/>
        <v>12.1</v>
      </c>
      <c r="AQ45" s="503">
        <f t="shared" si="1"/>
        <v>12.1</v>
      </c>
      <c r="AR45" s="314">
        <f t="shared" si="2"/>
        <v>1</v>
      </c>
      <c r="AS45" s="124"/>
      <c r="AT45" s="124"/>
      <c r="AU45" s="124"/>
      <c r="AV45" s="509"/>
      <c r="AW45" s="124"/>
      <c r="AX45" s="78"/>
      <c r="AY45" s="78"/>
    </row>
    <row r="46" spans="1:52" x14ac:dyDescent="0.25">
      <c r="A46" s="76">
        <v>45</v>
      </c>
      <c r="B46" s="76">
        <v>549</v>
      </c>
      <c r="C46" s="76" t="s">
        <v>213</v>
      </c>
      <c r="D46" s="77" t="s">
        <v>446</v>
      </c>
      <c r="E46" s="129"/>
      <c r="F46" s="129"/>
      <c r="G46" s="129"/>
      <c r="H46" s="129"/>
      <c r="I46" s="129"/>
      <c r="J46" s="129"/>
      <c r="K46" s="127">
        <v>4810</v>
      </c>
      <c r="L46" s="127">
        <v>5532.5</v>
      </c>
      <c r="M46" s="127">
        <v>5532.4849999999997</v>
      </c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5"/>
      <c r="AG46" s="125"/>
      <c r="AH46" s="125"/>
      <c r="AI46" s="125"/>
      <c r="AJ46" s="125"/>
      <c r="AK46" s="125"/>
      <c r="AL46" s="125"/>
      <c r="AM46" s="125"/>
      <c r="AN46" s="125"/>
      <c r="AO46" s="123">
        <f t="shared" si="3"/>
        <v>4810</v>
      </c>
      <c r="AP46" s="123">
        <f t="shared" si="1"/>
        <v>5532.5</v>
      </c>
      <c r="AQ46" s="503">
        <f t="shared" si="1"/>
        <v>5532.4849999999997</v>
      </c>
      <c r="AR46" s="314">
        <f t="shared" si="2"/>
        <v>0.9999972887483054</v>
      </c>
      <c r="AS46" s="124"/>
      <c r="AT46" s="124"/>
      <c r="AU46" s="124"/>
      <c r="AV46" s="509"/>
      <c r="AW46" s="124"/>
      <c r="AX46" s="78"/>
      <c r="AY46" s="78"/>
    </row>
    <row r="47" spans="1:52" x14ac:dyDescent="0.25">
      <c r="A47" s="76">
        <v>46</v>
      </c>
      <c r="B47" s="76">
        <v>564</v>
      </c>
      <c r="C47" s="76" t="s">
        <v>207</v>
      </c>
      <c r="D47" s="77" t="s">
        <v>334</v>
      </c>
      <c r="E47" s="129"/>
      <c r="F47" s="129"/>
      <c r="G47" s="129"/>
      <c r="H47" s="129"/>
      <c r="I47" s="129"/>
      <c r="J47" s="129"/>
      <c r="K47" s="127">
        <v>165</v>
      </c>
      <c r="L47" s="127">
        <v>165</v>
      </c>
      <c r="M47" s="127">
        <v>164.5</v>
      </c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5"/>
      <c r="AG47" s="125"/>
      <c r="AH47" s="125"/>
      <c r="AI47" s="125"/>
      <c r="AJ47" s="125"/>
      <c r="AK47" s="125"/>
      <c r="AL47" s="125"/>
      <c r="AM47" s="125"/>
      <c r="AN47" s="125"/>
      <c r="AO47" s="123">
        <f t="shared" si="3"/>
        <v>165</v>
      </c>
      <c r="AP47" s="123">
        <f t="shared" si="1"/>
        <v>165</v>
      </c>
      <c r="AQ47" s="503">
        <f t="shared" si="1"/>
        <v>164.5</v>
      </c>
      <c r="AR47" s="314">
        <f t="shared" si="2"/>
        <v>0.99696969696969695</v>
      </c>
      <c r="AS47" s="124"/>
      <c r="AT47" s="124"/>
      <c r="AU47" s="124"/>
      <c r="AV47" s="509"/>
      <c r="AW47" s="124"/>
      <c r="AX47" s="78"/>
      <c r="AY47" s="78"/>
    </row>
    <row r="48" spans="1:52" x14ac:dyDescent="0.25">
      <c r="A48" s="76">
        <v>47</v>
      </c>
      <c r="B48" s="76"/>
      <c r="C48" s="76" t="s">
        <v>213</v>
      </c>
      <c r="D48" s="77" t="s">
        <v>447</v>
      </c>
      <c r="E48" s="129"/>
      <c r="F48" s="129">
        <v>13.2</v>
      </c>
      <c r="G48" s="129">
        <v>13.141999999999999</v>
      </c>
      <c r="H48" s="129"/>
      <c r="I48" s="129">
        <v>6.8</v>
      </c>
      <c r="J48" s="129">
        <v>6.7039999999999997</v>
      </c>
      <c r="K48" s="127">
        <v>50</v>
      </c>
      <c r="L48" s="127">
        <v>71.099999999999994</v>
      </c>
      <c r="M48" s="127">
        <v>70.897999999999996</v>
      </c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5"/>
      <c r="AG48" s="125"/>
      <c r="AH48" s="125"/>
      <c r="AI48" s="125"/>
      <c r="AJ48" s="125"/>
      <c r="AK48" s="125"/>
      <c r="AL48" s="125"/>
      <c r="AM48" s="125"/>
      <c r="AN48" s="125"/>
      <c r="AO48" s="123">
        <f t="shared" si="3"/>
        <v>50</v>
      </c>
      <c r="AP48" s="123">
        <f t="shared" si="1"/>
        <v>91.1</v>
      </c>
      <c r="AQ48" s="503">
        <f t="shared" si="1"/>
        <v>90.744</v>
      </c>
      <c r="AR48" s="314">
        <f t="shared" si="2"/>
        <v>0.9960922063666301</v>
      </c>
      <c r="AS48" s="124"/>
      <c r="AT48" s="124"/>
      <c r="AU48" s="124"/>
      <c r="AV48" s="509"/>
      <c r="AW48" s="124"/>
      <c r="AX48" s="78"/>
      <c r="AY48" s="78"/>
    </row>
    <row r="49" spans="1:51" x14ac:dyDescent="0.25">
      <c r="A49" s="76">
        <v>48</v>
      </c>
      <c r="B49" s="76">
        <v>576</v>
      </c>
      <c r="C49" s="76" t="s">
        <v>213</v>
      </c>
      <c r="D49" s="77" t="s">
        <v>448</v>
      </c>
      <c r="E49" s="129"/>
      <c r="F49" s="129"/>
      <c r="G49" s="129"/>
      <c r="H49" s="129"/>
      <c r="I49" s="129"/>
      <c r="J49" s="129"/>
      <c r="K49" s="127"/>
      <c r="L49" s="127"/>
      <c r="M49" s="127"/>
      <c r="N49" s="129"/>
      <c r="O49" s="129"/>
      <c r="P49" s="129"/>
      <c r="Q49" s="129"/>
      <c r="R49" s="129"/>
      <c r="S49" s="129"/>
      <c r="T49" s="129">
        <v>955</v>
      </c>
      <c r="U49" s="129">
        <v>956.2</v>
      </c>
      <c r="V49" s="129">
        <v>956.11900000000003</v>
      </c>
      <c r="W49" s="129"/>
      <c r="X49" s="129"/>
      <c r="Y49" s="129"/>
      <c r="Z49" s="129"/>
      <c r="AA49" s="129"/>
      <c r="AB49" s="129"/>
      <c r="AC49" s="129"/>
      <c r="AD49" s="129"/>
      <c r="AE49" s="129"/>
      <c r="AF49" s="125"/>
      <c r="AG49" s="125"/>
      <c r="AH49" s="125"/>
      <c r="AI49" s="125"/>
      <c r="AJ49" s="125"/>
      <c r="AK49" s="125"/>
      <c r="AL49" s="125"/>
      <c r="AM49" s="125"/>
      <c r="AN49" s="125"/>
      <c r="AO49" s="123">
        <f t="shared" si="3"/>
        <v>955</v>
      </c>
      <c r="AP49" s="123">
        <f t="shared" si="1"/>
        <v>956.2</v>
      </c>
      <c r="AQ49" s="503">
        <f t="shared" si="1"/>
        <v>956.11900000000003</v>
      </c>
      <c r="AR49" s="314">
        <f t="shared" si="2"/>
        <v>0.99991528968834975</v>
      </c>
      <c r="AS49" s="124"/>
      <c r="AT49" s="124"/>
      <c r="AU49" s="124"/>
      <c r="AV49" s="509"/>
      <c r="AW49" s="124"/>
      <c r="AX49" s="78"/>
      <c r="AY49" s="78"/>
    </row>
    <row r="50" spans="1:51" x14ac:dyDescent="0.25">
      <c r="A50" s="76">
        <v>49</v>
      </c>
      <c r="B50" s="76">
        <v>540</v>
      </c>
      <c r="C50" s="76" t="s">
        <v>213</v>
      </c>
      <c r="D50" s="77" t="s">
        <v>522</v>
      </c>
      <c r="E50" s="129"/>
      <c r="F50" s="129"/>
      <c r="G50" s="129"/>
      <c r="H50" s="129"/>
      <c r="I50" s="129"/>
      <c r="J50" s="129"/>
      <c r="K50" s="127"/>
      <c r="L50" s="127"/>
      <c r="M50" s="127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>
        <v>700</v>
      </c>
      <c r="AD50" s="129">
        <v>750</v>
      </c>
      <c r="AE50" s="129">
        <v>750</v>
      </c>
      <c r="AF50" s="125"/>
      <c r="AG50" s="125"/>
      <c r="AH50" s="125"/>
      <c r="AI50" s="125"/>
      <c r="AJ50" s="125"/>
      <c r="AK50" s="125"/>
      <c r="AL50" s="125"/>
      <c r="AM50" s="125"/>
      <c r="AN50" s="125"/>
      <c r="AO50" s="123">
        <f t="shared" si="3"/>
        <v>700</v>
      </c>
      <c r="AP50" s="123">
        <f t="shared" si="1"/>
        <v>750</v>
      </c>
      <c r="AQ50" s="503">
        <f t="shared" si="1"/>
        <v>750</v>
      </c>
      <c r="AR50" s="314">
        <f t="shared" si="2"/>
        <v>1</v>
      </c>
      <c r="AS50" s="124"/>
      <c r="AT50" s="124"/>
      <c r="AU50" s="124"/>
      <c r="AV50" s="509"/>
      <c r="AW50" s="124"/>
      <c r="AX50" s="78"/>
      <c r="AY50" s="78"/>
    </row>
    <row r="51" spans="1:51" x14ac:dyDescent="0.25">
      <c r="A51" s="76">
        <v>50</v>
      </c>
      <c r="B51" s="76"/>
      <c r="C51" s="76" t="s">
        <v>213</v>
      </c>
      <c r="D51" s="77" t="s">
        <v>449</v>
      </c>
      <c r="E51" s="129"/>
      <c r="F51" s="129"/>
      <c r="G51" s="129"/>
      <c r="H51" s="129"/>
      <c r="I51" s="129"/>
      <c r="J51" s="129"/>
      <c r="K51" s="127">
        <v>1767</v>
      </c>
      <c r="L51" s="127">
        <v>6075.3</v>
      </c>
      <c r="M51" s="127">
        <v>6075.2290000000003</v>
      </c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>
        <v>110015</v>
      </c>
      <c r="AD51" s="129">
        <v>95412.135999999999</v>
      </c>
      <c r="AE51" s="129"/>
      <c r="AF51" s="125"/>
      <c r="AG51" s="125"/>
      <c r="AH51" s="125"/>
      <c r="AI51" s="125"/>
      <c r="AJ51" s="125"/>
      <c r="AK51" s="125"/>
      <c r="AL51" s="125"/>
      <c r="AM51" s="125"/>
      <c r="AN51" s="125"/>
      <c r="AO51" s="123">
        <f t="shared" si="3"/>
        <v>111782</v>
      </c>
      <c r="AP51" s="123">
        <f t="shared" si="1"/>
        <v>101487.436</v>
      </c>
      <c r="AQ51" s="503">
        <f t="shared" si="1"/>
        <v>6075.2290000000003</v>
      </c>
      <c r="AR51" s="314">
        <f t="shared" si="2"/>
        <v>5.9861882804882374E-2</v>
      </c>
      <c r="AS51" s="124"/>
      <c r="AT51" s="124"/>
      <c r="AU51" s="124"/>
      <c r="AV51" s="509"/>
      <c r="AW51" s="124"/>
      <c r="AX51" s="78"/>
      <c r="AY51" s="78"/>
    </row>
    <row r="52" spans="1:51" x14ac:dyDescent="0.25">
      <c r="A52" s="76">
        <v>51</v>
      </c>
      <c r="B52" s="76"/>
      <c r="C52" s="76" t="s">
        <v>213</v>
      </c>
      <c r="D52" s="77" t="s">
        <v>450</v>
      </c>
      <c r="E52" s="129"/>
      <c r="F52" s="129"/>
      <c r="G52" s="129"/>
      <c r="H52" s="129"/>
      <c r="I52" s="129"/>
      <c r="J52" s="129"/>
      <c r="K52" s="127">
        <v>685</v>
      </c>
      <c r="L52" s="127">
        <v>685</v>
      </c>
      <c r="M52" s="127">
        <v>106.2</v>
      </c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>
        <v>46438</v>
      </c>
      <c r="AD52" s="129">
        <v>46438</v>
      </c>
      <c r="AE52" s="129"/>
      <c r="AF52" s="125"/>
      <c r="AG52" s="125"/>
      <c r="AH52" s="125"/>
      <c r="AI52" s="125"/>
      <c r="AJ52" s="125"/>
      <c r="AK52" s="125"/>
      <c r="AL52" s="125"/>
      <c r="AM52" s="125"/>
      <c r="AN52" s="125"/>
      <c r="AO52" s="123">
        <f t="shared" si="3"/>
        <v>47123</v>
      </c>
      <c r="AP52" s="123">
        <f t="shared" si="1"/>
        <v>47123</v>
      </c>
      <c r="AQ52" s="503">
        <f t="shared" si="1"/>
        <v>106.2</v>
      </c>
      <c r="AR52" s="314">
        <f t="shared" si="2"/>
        <v>2.2536765486068375E-3</v>
      </c>
      <c r="AS52" s="124"/>
      <c r="AT52" s="124"/>
      <c r="AU52" s="124"/>
      <c r="AV52" s="509"/>
      <c r="AW52" s="124"/>
      <c r="AX52" s="78"/>
      <c r="AY52" s="78"/>
    </row>
    <row r="53" spans="1:51" x14ac:dyDescent="0.25">
      <c r="A53" s="76">
        <v>52</v>
      </c>
      <c r="B53" s="76">
        <v>556</v>
      </c>
      <c r="C53" s="76" t="s">
        <v>213</v>
      </c>
      <c r="D53" s="77" t="s">
        <v>338</v>
      </c>
      <c r="E53" s="129">
        <v>9241</v>
      </c>
      <c r="F53" s="129">
        <v>9241</v>
      </c>
      <c r="G53" s="129">
        <v>2330.88</v>
      </c>
      <c r="H53" s="129">
        <v>2033</v>
      </c>
      <c r="I53" s="129">
        <v>2033</v>
      </c>
      <c r="J53" s="129">
        <v>379.08</v>
      </c>
      <c r="K53" s="127">
        <v>29690</v>
      </c>
      <c r="L53" s="127">
        <v>29690</v>
      </c>
      <c r="M53" s="127">
        <v>12820.442999999999</v>
      </c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5"/>
      <c r="AG53" s="125"/>
      <c r="AH53" s="125"/>
      <c r="AI53" s="125"/>
      <c r="AJ53" s="125"/>
      <c r="AK53" s="125"/>
      <c r="AL53" s="125"/>
      <c r="AM53" s="125"/>
      <c r="AN53" s="125"/>
      <c r="AO53" s="123">
        <f t="shared" si="3"/>
        <v>40964</v>
      </c>
      <c r="AP53" s="123">
        <f t="shared" si="1"/>
        <v>40964</v>
      </c>
      <c r="AQ53" s="503">
        <f t="shared" si="1"/>
        <v>15530.402999999998</v>
      </c>
      <c r="AR53" s="314">
        <f t="shared" si="2"/>
        <v>0.37912320574162678</v>
      </c>
      <c r="AS53" s="124"/>
      <c r="AT53" s="124"/>
      <c r="AU53" s="124"/>
      <c r="AV53" s="509"/>
      <c r="AW53" s="124"/>
      <c r="AX53" s="78"/>
      <c r="AY53" s="78"/>
    </row>
    <row r="54" spans="1:51" x14ac:dyDescent="0.25">
      <c r="A54" s="76">
        <v>53</v>
      </c>
      <c r="B54" s="76"/>
      <c r="C54" s="76" t="s">
        <v>213</v>
      </c>
      <c r="D54" s="77" t="s">
        <v>342</v>
      </c>
      <c r="E54" s="129"/>
      <c r="F54" s="129"/>
      <c r="G54" s="129"/>
      <c r="H54" s="129"/>
      <c r="I54" s="129"/>
      <c r="J54" s="129"/>
      <c r="K54" s="127">
        <v>2102</v>
      </c>
      <c r="L54" s="127">
        <v>2102</v>
      </c>
      <c r="M54" s="127">
        <v>1879.4</v>
      </c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>
        <v>55115</v>
      </c>
      <c r="AD54" s="129">
        <v>55115</v>
      </c>
      <c r="AE54" s="129"/>
      <c r="AF54" s="125"/>
      <c r="AG54" s="125"/>
      <c r="AH54" s="125"/>
      <c r="AI54" s="125"/>
      <c r="AJ54" s="125"/>
      <c r="AK54" s="125"/>
      <c r="AL54" s="125"/>
      <c r="AM54" s="125"/>
      <c r="AN54" s="125"/>
      <c r="AO54" s="123">
        <f t="shared" si="3"/>
        <v>57217</v>
      </c>
      <c r="AP54" s="123">
        <f t="shared" si="1"/>
        <v>57217</v>
      </c>
      <c r="AQ54" s="503">
        <f t="shared" si="1"/>
        <v>1879.4</v>
      </c>
      <c r="AR54" s="314">
        <f t="shared" si="2"/>
        <v>3.2846881171679748E-2</v>
      </c>
      <c r="AS54" s="124"/>
      <c r="AT54" s="124"/>
      <c r="AU54" s="124"/>
      <c r="AV54" s="509"/>
      <c r="AW54" s="124"/>
      <c r="AX54" s="78"/>
      <c r="AY54" s="78"/>
    </row>
    <row r="55" spans="1:51" x14ac:dyDescent="0.25">
      <c r="A55" s="76">
        <v>54</v>
      </c>
      <c r="B55" s="76"/>
      <c r="C55" s="76" t="s">
        <v>213</v>
      </c>
      <c r="D55" s="77" t="s">
        <v>451</v>
      </c>
      <c r="E55" s="129">
        <v>9881</v>
      </c>
      <c r="F55" s="129">
        <v>9881</v>
      </c>
      <c r="G55" s="129">
        <v>473.88</v>
      </c>
      <c r="H55" s="129">
        <v>2126</v>
      </c>
      <c r="I55" s="129">
        <v>2126</v>
      </c>
      <c r="J55" s="129">
        <v>85.14</v>
      </c>
      <c r="K55" s="127">
        <v>1493</v>
      </c>
      <c r="L55" s="127">
        <v>1493</v>
      </c>
      <c r="M55" s="127">
        <v>121.937</v>
      </c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5"/>
      <c r="AG55" s="125"/>
      <c r="AH55" s="125"/>
      <c r="AI55" s="125">
        <v>6656.232</v>
      </c>
      <c r="AJ55" s="125">
        <v>6656.232</v>
      </c>
      <c r="AK55" s="125"/>
      <c r="AL55" s="125"/>
      <c r="AM55" s="125"/>
      <c r="AN55" s="125"/>
      <c r="AO55" s="123">
        <f t="shared" si="3"/>
        <v>20156.232</v>
      </c>
      <c r="AP55" s="123">
        <f t="shared" si="1"/>
        <v>20156.232</v>
      </c>
      <c r="AQ55" s="503">
        <f t="shared" si="1"/>
        <v>680.95699999999999</v>
      </c>
      <c r="AR55" s="314">
        <f t="shared" si="2"/>
        <v>3.3783943348141658E-2</v>
      </c>
      <c r="AS55" s="124"/>
      <c r="AT55" s="124"/>
      <c r="AU55" s="124"/>
      <c r="AV55" s="509"/>
      <c r="AW55" s="124"/>
      <c r="AX55" s="78"/>
      <c r="AY55" s="78"/>
    </row>
    <row r="56" spans="1:51" x14ac:dyDescent="0.25">
      <c r="A56" s="76">
        <v>55</v>
      </c>
      <c r="B56" s="76">
        <v>557</v>
      </c>
      <c r="C56" s="76" t="s">
        <v>213</v>
      </c>
      <c r="D56" s="77" t="s">
        <v>337</v>
      </c>
      <c r="E56" s="129">
        <v>2448</v>
      </c>
      <c r="F56" s="129">
        <v>2448</v>
      </c>
      <c r="G56" s="129"/>
      <c r="H56" s="129">
        <v>1252</v>
      </c>
      <c r="I56" s="129">
        <v>1252</v>
      </c>
      <c r="J56" s="129"/>
      <c r="K56" s="127">
        <v>11915</v>
      </c>
      <c r="L56" s="127">
        <v>11915</v>
      </c>
      <c r="M56" s="127">
        <v>3000</v>
      </c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>
        <v>189753</v>
      </c>
      <c r="AD56" s="129">
        <v>190261</v>
      </c>
      <c r="AE56" s="129"/>
      <c r="AF56" s="125"/>
      <c r="AG56" s="125"/>
      <c r="AH56" s="125"/>
      <c r="AI56" s="125">
        <v>2846</v>
      </c>
      <c r="AJ56" s="125">
        <v>2846</v>
      </c>
      <c r="AK56" s="125"/>
      <c r="AL56" s="125"/>
      <c r="AM56" s="125"/>
      <c r="AN56" s="125"/>
      <c r="AO56" s="123">
        <f t="shared" si="3"/>
        <v>208214</v>
      </c>
      <c r="AP56" s="123">
        <f t="shared" si="1"/>
        <v>208722</v>
      </c>
      <c r="AQ56" s="123">
        <f t="shared" si="1"/>
        <v>3000</v>
      </c>
      <c r="AR56" s="314">
        <f t="shared" si="2"/>
        <v>1.43731853853451E-2</v>
      </c>
      <c r="AS56" s="124"/>
      <c r="AT56" s="124"/>
      <c r="AU56" s="124"/>
      <c r="AV56" s="509"/>
      <c r="AW56" s="124"/>
      <c r="AX56" s="78"/>
      <c r="AY56" s="78"/>
    </row>
    <row r="57" spans="1:51" x14ac:dyDescent="0.25">
      <c r="A57" s="76">
        <v>56</v>
      </c>
      <c r="B57" s="76">
        <v>558</v>
      </c>
      <c r="C57" s="274" t="s">
        <v>213</v>
      </c>
      <c r="D57" s="77" t="s">
        <v>339</v>
      </c>
      <c r="E57" s="129"/>
      <c r="F57" s="129"/>
      <c r="G57" s="129"/>
      <c r="H57" s="129"/>
      <c r="I57" s="129"/>
      <c r="J57" s="129"/>
      <c r="K57" s="127">
        <v>2530</v>
      </c>
      <c r="L57" s="127">
        <v>2530</v>
      </c>
      <c r="M57" s="127">
        <v>1930</v>
      </c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>
        <v>45500</v>
      </c>
      <c r="AD57" s="129">
        <v>45500</v>
      </c>
      <c r="AE57" s="129"/>
      <c r="AF57" s="125"/>
      <c r="AG57" s="125"/>
      <c r="AH57" s="125"/>
      <c r="AI57" s="125"/>
      <c r="AJ57" s="125"/>
      <c r="AK57" s="125"/>
      <c r="AL57" s="125"/>
      <c r="AM57" s="125"/>
      <c r="AN57" s="125"/>
      <c r="AO57" s="123">
        <f t="shared" si="3"/>
        <v>48030</v>
      </c>
      <c r="AP57" s="123">
        <f t="shared" si="1"/>
        <v>48030</v>
      </c>
      <c r="AQ57" s="503">
        <f t="shared" si="1"/>
        <v>1930</v>
      </c>
      <c r="AR57" s="314">
        <f t="shared" si="2"/>
        <v>4.0183218821569854E-2</v>
      </c>
      <c r="AS57" s="124"/>
      <c r="AT57" s="124"/>
      <c r="AU57" s="124"/>
      <c r="AV57" s="509"/>
      <c r="AW57" s="124"/>
      <c r="AX57" s="78"/>
      <c r="AY57" s="78"/>
    </row>
    <row r="58" spans="1:51" x14ac:dyDescent="0.25">
      <c r="A58" s="76">
        <v>57</v>
      </c>
      <c r="B58" s="76">
        <v>559</v>
      </c>
      <c r="C58" s="76" t="s">
        <v>213</v>
      </c>
      <c r="D58" s="77" t="s">
        <v>340</v>
      </c>
      <c r="E58" s="129"/>
      <c r="F58" s="129"/>
      <c r="G58" s="129"/>
      <c r="H58" s="129"/>
      <c r="I58" s="129"/>
      <c r="J58" s="129"/>
      <c r="K58" s="127">
        <v>11355</v>
      </c>
      <c r="L58" s="127">
        <v>11355</v>
      </c>
      <c r="M58" s="127">
        <v>60</v>
      </c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>
        <v>159401</v>
      </c>
      <c r="AD58" s="129">
        <v>159401</v>
      </c>
      <c r="AE58" s="129"/>
      <c r="AF58" s="125"/>
      <c r="AG58" s="125"/>
      <c r="AH58" s="125"/>
      <c r="AI58" s="125"/>
      <c r="AJ58" s="125"/>
      <c r="AK58" s="125"/>
      <c r="AL58" s="125"/>
      <c r="AM58" s="125"/>
      <c r="AN58" s="125"/>
      <c r="AO58" s="123">
        <f t="shared" si="3"/>
        <v>170756</v>
      </c>
      <c r="AP58" s="123">
        <f t="shared" si="1"/>
        <v>170756</v>
      </c>
      <c r="AQ58" s="123">
        <f t="shared" si="1"/>
        <v>60</v>
      </c>
      <c r="AR58" s="314">
        <f t="shared" si="2"/>
        <v>3.5137857527700345E-4</v>
      </c>
      <c r="AS58" s="124"/>
      <c r="AT58" s="124"/>
      <c r="AU58" s="124"/>
      <c r="AV58" s="509"/>
      <c r="AW58" s="124"/>
      <c r="AX58" s="78"/>
      <c r="AY58" s="78"/>
    </row>
    <row r="59" spans="1:51" x14ac:dyDescent="0.25">
      <c r="A59" s="76">
        <v>58</v>
      </c>
      <c r="B59" s="76"/>
      <c r="C59" s="76" t="s">
        <v>213</v>
      </c>
      <c r="D59" s="77" t="s">
        <v>521</v>
      </c>
      <c r="E59" s="129"/>
      <c r="F59" s="129"/>
      <c r="G59" s="129"/>
      <c r="H59" s="129"/>
      <c r="I59" s="129"/>
      <c r="J59" s="129"/>
      <c r="K59" s="127"/>
      <c r="L59" s="127">
        <v>460.35</v>
      </c>
      <c r="M59" s="127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5"/>
      <c r="AG59" s="125"/>
      <c r="AH59" s="125"/>
      <c r="AI59" s="125"/>
      <c r="AJ59" s="125"/>
      <c r="AK59" s="125"/>
      <c r="AL59" s="125"/>
      <c r="AM59" s="125"/>
      <c r="AN59" s="125"/>
      <c r="AO59" s="123"/>
      <c r="AP59" s="123">
        <f t="shared" si="1"/>
        <v>460.35</v>
      </c>
      <c r="AQ59" s="123">
        <f t="shared" si="1"/>
        <v>0</v>
      </c>
      <c r="AR59" s="314">
        <f t="shared" si="2"/>
        <v>0</v>
      </c>
      <c r="AS59" s="124"/>
      <c r="AT59" s="124"/>
      <c r="AU59" s="124"/>
      <c r="AV59" s="509"/>
      <c r="AW59" s="124"/>
      <c r="AX59" s="78"/>
      <c r="AY59" s="78"/>
    </row>
    <row r="60" spans="1:51" x14ac:dyDescent="0.25">
      <c r="A60" s="76">
        <v>59</v>
      </c>
      <c r="B60" s="76"/>
      <c r="C60" s="76" t="s">
        <v>213</v>
      </c>
      <c r="D60" s="77" t="s">
        <v>520</v>
      </c>
      <c r="E60" s="129"/>
      <c r="F60" s="129"/>
      <c r="G60" s="129"/>
      <c r="H60" s="129"/>
      <c r="I60" s="129"/>
      <c r="J60" s="129"/>
      <c r="K60" s="127"/>
      <c r="L60" s="127">
        <v>3496.5079999999998</v>
      </c>
      <c r="M60" s="127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5"/>
      <c r="AG60" s="125"/>
      <c r="AH60" s="125"/>
      <c r="AI60" s="125"/>
      <c r="AJ60" s="125"/>
      <c r="AK60" s="125"/>
      <c r="AL60" s="125"/>
      <c r="AM60" s="125"/>
      <c r="AN60" s="125"/>
      <c r="AO60" s="123"/>
      <c r="AP60" s="123">
        <f t="shared" si="1"/>
        <v>3496.5079999999998</v>
      </c>
      <c r="AQ60" s="123">
        <f t="shared" si="1"/>
        <v>0</v>
      </c>
      <c r="AR60" s="314">
        <f t="shared" si="2"/>
        <v>0</v>
      </c>
      <c r="AS60" s="124"/>
      <c r="AT60" s="124"/>
      <c r="AU60" s="124"/>
      <c r="AV60" s="509"/>
      <c r="AW60" s="124"/>
      <c r="AX60" s="78"/>
      <c r="AY60" s="78"/>
    </row>
    <row r="61" spans="1:51" x14ac:dyDescent="0.25">
      <c r="A61" s="76">
        <v>60</v>
      </c>
      <c r="B61" s="76">
        <v>560</v>
      </c>
      <c r="C61" s="274" t="s">
        <v>213</v>
      </c>
      <c r="D61" s="77" t="s">
        <v>452</v>
      </c>
      <c r="E61" s="129"/>
      <c r="F61" s="129">
        <v>11285</v>
      </c>
      <c r="G61" s="129">
        <v>6160</v>
      </c>
      <c r="H61" s="129"/>
      <c r="I61" s="129">
        <v>2201.1999999999998</v>
      </c>
      <c r="J61" s="129">
        <v>1146.5999999999999</v>
      </c>
      <c r="K61" s="127"/>
      <c r="L61" s="127">
        <v>1866</v>
      </c>
      <c r="M61" s="127">
        <v>84.81</v>
      </c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5"/>
      <c r="AG61" s="125"/>
      <c r="AH61" s="125"/>
      <c r="AI61" s="125"/>
      <c r="AJ61" s="125"/>
      <c r="AK61" s="125"/>
      <c r="AL61" s="125"/>
      <c r="AM61" s="125"/>
      <c r="AN61" s="125"/>
      <c r="AO61" s="123">
        <f t="shared" si="3"/>
        <v>0</v>
      </c>
      <c r="AP61" s="123">
        <f t="shared" si="1"/>
        <v>15352.2</v>
      </c>
      <c r="AQ61" s="503">
        <f t="shared" si="1"/>
        <v>7391.4100000000008</v>
      </c>
      <c r="AR61" s="314">
        <f t="shared" si="2"/>
        <v>0.48145607795625384</v>
      </c>
      <c r="AS61" s="124"/>
      <c r="AT61" s="124"/>
      <c r="AU61" s="124"/>
      <c r="AV61" s="509"/>
      <c r="AW61" s="124"/>
      <c r="AX61" s="78"/>
      <c r="AY61" s="78"/>
    </row>
    <row r="62" spans="1:51" x14ac:dyDescent="0.25">
      <c r="A62" s="76">
        <v>61</v>
      </c>
      <c r="B62" s="76">
        <v>561</v>
      </c>
      <c r="C62" s="76" t="s">
        <v>213</v>
      </c>
      <c r="D62" s="79" t="s">
        <v>427</v>
      </c>
      <c r="E62" s="129"/>
      <c r="F62" s="129">
        <v>6375</v>
      </c>
      <c r="G62" s="129">
        <v>1734.6</v>
      </c>
      <c r="H62" s="129"/>
      <c r="I62" s="129">
        <v>1243.3</v>
      </c>
      <c r="J62" s="129">
        <v>327.60000000000002</v>
      </c>
      <c r="K62" s="127"/>
      <c r="L62" s="127">
        <v>1776</v>
      </c>
      <c r="M62" s="127">
        <v>85.528000000000006</v>
      </c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5"/>
      <c r="AG62" s="125"/>
      <c r="AH62" s="125"/>
      <c r="AI62" s="125"/>
      <c r="AJ62" s="125"/>
      <c r="AK62" s="125"/>
      <c r="AL62" s="125"/>
      <c r="AM62" s="125"/>
      <c r="AN62" s="125"/>
      <c r="AO62" s="123">
        <f t="shared" si="3"/>
        <v>0</v>
      </c>
      <c r="AP62" s="123">
        <f t="shared" si="1"/>
        <v>9394.2999999999993</v>
      </c>
      <c r="AQ62" s="503">
        <f t="shared" si="1"/>
        <v>2147.7279999999996</v>
      </c>
      <c r="AR62" s="314">
        <f t="shared" si="2"/>
        <v>0.22862033360654863</v>
      </c>
      <c r="AS62" s="124"/>
      <c r="AT62" s="124"/>
      <c r="AU62" s="124"/>
      <c r="AV62" s="509"/>
      <c r="AW62" s="124"/>
      <c r="AX62" s="78"/>
      <c r="AY62" s="78"/>
    </row>
    <row r="63" spans="1:51" x14ac:dyDescent="0.25">
      <c r="A63" s="76">
        <v>62</v>
      </c>
      <c r="B63" s="76">
        <v>562</v>
      </c>
      <c r="C63" s="76" t="s">
        <v>213</v>
      </c>
      <c r="D63" s="77" t="s">
        <v>453</v>
      </c>
      <c r="E63" s="129"/>
      <c r="F63" s="129"/>
      <c r="G63" s="129"/>
      <c r="H63" s="129"/>
      <c r="I63" s="129"/>
      <c r="J63" s="129"/>
      <c r="K63" s="127"/>
      <c r="L63" s="127">
        <v>63.5</v>
      </c>
      <c r="M63" s="127">
        <v>63.5</v>
      </c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5"/>
      <c r="AG63" s="125"/>
      <c r="AH63" s="125"/>
      <c r="AI63" s="125"/>
      <c r="AJ63" s="125"/>
      <c r="AK63" s="125"/>
      <c r="AL63" s="125"/>
      <c r="AM63" s="125"/>
      <c r="AN63" s="125"/>
      <c r="AO63" s="123">
        <f t="shared" si="3"/>
        <v>0</v>
      </c>
      <c r="AP63" s="123">
        <f t="shared" si="1"/>
        <v>63.5</v>
      </c>
      <c r="AQ63" s="503">
        <f t="shared" si="1"/>
        <v>63.5</v>
      </c>
      <c r="AR63" s="314">
        <f t="shared" si="2"/>
        <v>1</v>
      </c>
      <c r="AS63" s="124"/>
      <c r="AT63" s="124"/>
      <c r="AU63" s="124"/>
      <c r="AV63" s="509"/>
      <c r="AW63" s="124"/>
      <c r="AX63" s="78"/>
      <c r="AY63" s="78"/>
    </row>
    <row r="64" spans="1:51" x14ac:dyDescent="0.25">
      <c r="A64" s="76"/>
      <c r="B64" s="76"/>
      <c r="C64" s="76" t="s">
        <v>213</v>
      </c>
      <c r="D64" s="77" t="s">
        <v>541</v>
      </c>
      <c r="E64" s="129"/>
      <c r="F64" s="129"/>
      <c r="G64" s="129"/>
      <c r="H64" s="129"/>
      <c r="I64" s="129"/>
      <c r="J64" s="129"/>
      <c r="K64" s="127"/>
      <c r="L64" s="127">
        <v>10</v>
      </c>
      <c r="M64" s="127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>
        <v>299.23</v>
      </c>
      <c r="AE64" s="129"/>
      <c r="AF64" s="125"/>
      <c r="AG64" s="125"/>
      <c r="AH64" s="125"/>
      <c r="AI64" s="125"/>
      <c r="AJ64" s="125"/>
      <c r="AK64" s="125"/>
      <c r="AL64" s="125"/>
      <c r="AM64" s="125"/>
      <c r="AN64" s="125"/>
      <c r="AO64" s="123"/>
      <c r="AP64" s="123">
        <f t="shared" si="1"/>
        <v>309.23</v>
      </c>
      <c r="AQ64" s="503">
        <f t="shared" si="1"/>
        <v>0</v>
      </c>
      <c r="AR64" s="314"/>
      <c r="AS64" s="124"/>
      <c r="AT64" s="124"/>
      <c r="AU64" s="124"/>
      <c r="AV64" s="509"/>
      <c r="AW64" s="124"/>
      <c r="AX64" s="78"/>
      <c r="AY64" s="78"/>
    </row>
    <row r="65" spans="1:51" x14ac:dyDescent="0.25">
      <c r="A65" s="76">
        <v>63</v>
      </c>
      <c r="B65" s="76">
        <v>566</v>
      </c>
      <c r="C65" s="76" t="s">
        <v>213</v>
      </c>
      <c r="D65" s="77" t="s">
        <v>496</v>
      </c>
      <c r="E65" s="129"/>
      <c r="F65" s="129"/>
      <c r="G65" s="129"/>
      <c r="H65" s="129"/>
      <c r="I65" s="129"/>
      <c r="J65" s="129"/>
      <c r="K65" s="127"/>
      <c r="L65" s="127">
        <v>190.1</v>
      </c>
      <c r="M65" s="127">
        <v>190.05</v>
      </c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5"/>
      <c r="AG65" s="125"/>
      <c r="AH65" s="125"/>
      <c r="AI65" s="125"/>
      <c r="AJ65" s="125"/>
      <c r="AK65" s="125"/>
      <c r="AL65" s="125"/>
      <c r="AM65" s="125"/>
      <c r="AN65" s="125"/>
      <c r="AO65" s="123"/>
      <c r="AP65" s="123">
        <f>F65+I65+L65+O65+R65+U65+X65+AA65+AD65+AG65+AJ65+AM65</f>
        <v>190.1</v>
      </c>
      <c r="AQ65" s="503">
        <f t="shared" si="1"/>
        <v>190.05</v>
      </c>
      <c r="AR65" s="314">
        <f>AQ65/AP65</f>
        <v>0.99973698053655979</v>
      </c>
      <c r="AS65" s="124"/>
      <c r="AT65" s="124"/>
      <c r="AU65" s="124"/>
      <c r="AV65" s="509"/>
      <c r="AW65" s="124"/>
      <c r="AX65" s="78"/>
      <c r="AY65" s="78"/>
    </row>
    <row r="66" spans="1:51" x14ac:dyDescent="0.25">
      <c r="A66" s="76"/>
      <c r="B66" s="76"/>
      <c r="C66" s="76" t="s">
        <v>207</v>
      </c>
      <c r="D66" s="77" t="s">
        <v>542</v>
      </c>
      <c r="E66" s="129"/>
      <c r="F66" s="129"/>
      <c r="G66" s="129"/>
      <c r="H66" s="129"/>
      <c r="I66" s="129"/>
      <c r="J66" s="129"/>
      <c r="K66" s="127"/>
      <c r="L66" s="127"/>
      <c r="M66" s="127"/>
      <c r="N66" s="129"/>
      <c r="O66" s="129">
        <v>2003</v>
      </c>
      <c r="P66" s="129">
        <v>2003</v>
      </c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5"/>
      <c r="AG66" s="125"/>
      <c r="AH66" s="125"/>
      <c r="AI66" s="125"/>
      <c r="AJ66" s="125"/>
      <c r="AK66" s="125"/>
      <c r="AL66" s="125"/>
      <c r="AM66" s="125"/>
      <c r="AN66" s="125"/>
      <c r="AO66" s="123"/>
      <c r="AP66" s="123">
        <f t="shared" ref="AP66:AP68" si="4">F66+I66+L66+O66+R66+U66+X66+AA66+AD66+AG66+AJ66+AM66</f>
        <v>2003</v>
      </c>
      <c r="AQ66" s="503">
        <f t="shared" si="1"/>
        <v>2003</v>
      </c>
      <c r="AR66" s="314"/>
      <c r="AS66" s="124"/>
      <c r="AT66" s="124"/>
      <c r="AU66" s="124"/>
      <c r="AV66" s="509"/>
      <c r="AW66" s="124"/>
      <c r="AX66" s="78"/>
      <c r="AY66" s="78"/>
    </row>
    <row r="67" spans="1:51" x14ac:dyDescent="0.25">
      <c r="A67" s="76"/>
      <c r="B67" s="76"/>
      <c r="C67" s="76" t="s">
        <v>207</v>
      </c>
      <c r="D67" s="77" t="s">
        <v>543</v>
      </c>
      <c r="E67" s="129"/>
      <c r="F67" s="129"/>
      <c r="G67" s="129"/>
      <c r="H67" s="129"/>
      <c r="I67" s="129"/>
      <c r="J67" s="129"/>
      <c r="K67" s="127"/>
      <c r="L67" s="127"/>
      <c r="M67" s="127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5"/>
      <c r="AG67" s="125">
        <v>313.95999999999998</v>
      </c>
      <c r="AH67" s="125">
        <v>313.69</v>
      </c>
      <c r="AI67" s="125"/>
      <c r="AJ67" s="125"/>
      <c r="AK67" s="125"/>
      <c r="AL67" s="125"/>
      <c r="AM67" s="125"/>
      <c r="AN67" s="125"/>
      <c r="AO67" s="123"/>
      <c r="AP67" s="123">
        <f t="shared" si="4"/>
        <v>313.95999999999998</v>
      </c>
      <c r="AQ67" s="503">
        <f t="shared" si="1"/>
        <v>313.69</v>
      </c>
      <c r="AR67" s="314"/>
      <c r="AS67" s="124"/>
      <c r="AT67" s="124"/>
      <c r="AU67" s="124"/>
      <c r="AV67" s="509"/>
      <c r="AW67" s="124"/>
      <c r="AX67" s="78"/>
      <c r="AY67" s="78"/>
    </row>
    <row r="68" spans="1:51" x14ac:dyDescent="0.25">
      <c r="A68" s="76"/>
      <c r="B68" s="76"/>
      <c r="C68" s="76" t="s">
        <v>213</v>
      </c>
      <c r="D68" s="77" t="s">
        <v>544</v>
      </c>
      <c r="E68" s="129"/>
      <c r="F68" s="129"/>
      <c r="G68" s="129"/>
      <c r="H68" s="129"/>
      <c r="I68" s="129"/>
      <c r="J68" s="129"/>
      <c r="K68" s="127"/>
      <c r="L68" s="127"/>
      <c r="M68" s="127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>
        <v>2000</v>
      </c>
      <c r="AE68" s="129">
        <v>2000</v>
      </c>
      <c r="AF68" s="125"/>
      <c r="AG68" s="125"/>
      <c r="AH68" s="125"/>
      <c r="AI68" s="125"/>
      <c r="AJ68" s="125"/>
      <c r="AK68" s="125"/>
      <c r="AL68" s="125"/>
      <c r="AM68" s="125"/>
      <c r="AN68" s="125"/>
      <c r="AO68" s="123"/>
      <c r="AP68" s="123">
        <f t="shared" si="4"/>
        <v>2000</v>
      </c>
      <c r="AQ68" s="503">
        <f t="shared" si="1"/>
        <v>2000</v>
      </c>
      <c r="AR68" s="314"/>
      <c r="AS68" s="124"/>
      <c r="AT68" s="124"/>
      <c r="AU68" s="124"/>
      <c r="AV68" s="509"/>
      <c r="AW68" s="124"/>
      <c r="AX68" s="78"/>
      <c r="AY68" s="78"/>
    </row>
    <row r="69" spans="1:51" x14ac:dyDescent="0.25">
      <c r="A69" s="76">
        <v>64</v>
      </c>
      <c r="B69" s="76">
        <v>554</v>
      </c>
      <c r="C69" s="76" t="s">
        <v>207</v>
      </c>
      <c r="D69" s="77" t="s">
        <v>454</v>
      </c>
      <c r="E69" s="129"/>
      <c r="F69" s="129"/>
      <c r="G69" s="129"/>
      <c r="H69" s="129"/>
      <c r="I69" s="129"/>
      <c r="J69" s="129"/>
      <c r="K69" s="127"/>
      <c r="L69" s="127"/>
      <c r="M69" s="127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5"/>
      <c r="AG69" s="125">
        <v>2708.8159999999998</v>
      </c>
      <c r="AH69" s="125"/>
      <c r="AI69" s="125"/>
      <c r="AJ69" s="125"/>
      <c r="AK69" s="125"/>
      <c r="AL69" s="125"/>
      <c r="AM69" s="125"/>
      <c r="AN69" s="125"/>
      <c r="AO69" s="123">
        <f t="shared" si="3"/>
        <v>0</v>
      </c>
      <c r="AP69" s="123">
        <f t="shared" si="1"/>
        <v>2708.8159999999998</v>
      </c>
      <c r="AQ69" s="503">
        <f t="shared" si="1"/>
        <v>0</v>
      </c>
      <c r="AR69" s="314">
        <f t="shared" si="2"/>
        <v>0</v>
      </c>
      <c r="AS69" s="124"/>
      <c r="AT69" s="124"/>
      <c r="AU69" s="124"/>
      <c r="AV69" s="509"/>
      <c r="AW69" s="124"/>
      <c r="AX69" s="78"/>
      <c r="AY69" s="78">
        <v>5328</v>
      </c>
    </row>
    <row r="70" spans="1:51" x14ac:dyDescent="0.25">
      <c r="A70" s="76">
        <v>65</v>
      </c>
      <c r="B70" s="76"/>
      <c r="C70" s="76" t="s">
        <v>213</v>
      </c>
      <c r="D70" s="77" t="s">
        <v>540</v>
      </c>
      <c r="E70" s="129"/>
      <c r="F70" s="129"/>
      <c r="G70" s="129"/>
      <c r="H70" s="129"/>
      <c r="I70" s="129"/>
      <c r="J70" s="129"/>
      <c r="K70" s="127"/>
      <c r="L70" s="127">
        <v>37243.444000000003</v>
      </c>
      <c r="M70" s="127">
        <v>37243.444000000003</v>
      </c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5"/>
      <c r="AG70" s="125"/>
      <c r="AH70" s="125"/>
      <c r="AI70" s="125"/>
      <c r="AJ70" s="125"/>
      <c r="AK70" s="125"/>
      <c r="AL70" s="125"/>
      <c r="AM70" s="125"/>
      <c r="AN70" s="125"/>
      <c r="AO70" s="123"/>
      <c r="AP70" s="123">
        <f t="shared" si="1"/>
        <v>37243.444000000003</v>
      </c>
      <c r="AQ70" s="503">
        <f t="shared" si="1"/>
        <v>37243.444000000003</v>
      </c>
      <c r="AR70" s="314">
        <f t="shared" si="2"/>
        <v>1</v>
      </c>
      <c r="AS70" s="124"/>
      <c r="AT70" s="124"/>
      <c r="AU70" s="124"/>
      <c r="AV70" s="509"/>
      <c r="AW70" s="124"/>
      <c r="AX70" s="78"/>
      <c r="AY70" s="78"/>
    </row>
    <row r="71" spans="1:51" s="215" customFormat="1" x14ac:dyDescent="0.25">
      <c r="A71" s="76">
        <v>66</v>
      </c>
      <c r="B71" s="211"/>
      <c r="C71" s="211"/>
      <c r="D71" s="212" t="s">
        <v>253</v>
      </c>
      <c r="E71" s="213">
        <f>SUM(E5:E70)</f>
        <v>124278</v>
      </c>
      <c r="F71" s="213">
        <f t="shared" ref="F71:R71" si="5">SUM(F5:F70)</f>
        <v>144058.799</v>
      </c>
      <c r="G71" s="514">
        <f t="shared" si="5"/>
        <v>111299.05100000004</v>
      </c>
      <c r="H71" s="213">
        <f t="shared" si="5"/>
        <v>17867.8</v>
      </c>
      <c r="I71" s="213">
        <f t="shared" si="5"/>
        <v>21755.201000000001</v>
      </c>
      <c r="J71" s="514">
        <f t="shared" si="5"/>
        <v>14204.414999999999</v>
      </c>
      <c r="K71" s="213">
        <f t="shared" si="5"/>
        <v>161053.70000000001</v>
      </c>
      <c r="L71" s="213">
        <f t="shared" si="5"/>
        <v>213222.34500000003</v>
      </c>
      <c r="M71" s="514">
        <f t="shared" si="5"/>
        <v>155383.25699999998</v>
      </c>
      <c r="N71" s="213">
        <f t="shared" si="5"/>
        <v>5400</v>
      </c>
      <c r="O71" s="213">
        <f t="shared" si="5"/>
        <v>12403.719999999998</v>
      </c>
      <c r="P71" s="514">
        <f t="shared" si="5"/>
        <v>9987.6949999999997</v>
      </c>
      <c r="Q71" s="213">
        <f t="shared" si="5"/>
        <v>26992.1</v>
      </c>
      <c r="R71" s="213">
        <f t="shared" si="5"/>
        <v>25669.644999999997</v>
      </c>
      <c r="S71" s="514">
        <f t="shared" ref="S71" si="6">SUM(S5:S70)</f>
        <v>25655.827999999998</v>
      </c>
      <c r="T71" s="213">
        <f t="shared" ref="T71" si="7">SUM(T5:T70)</f>
        <v>7378</v>
      </c>
      <c r="U71" s="213">
        <f t="shared" ref="U71" si="8">SUM(U5:U70)</f>
        <v>7379.2</v>
      </c>
      <c r="V71" s="514">
        <f t="shared" ref="V71" si="9">SUM(V5:V70)</f>
        <v>7064.0219999999999</v>
      </c>
      <c r="W71" s="213">
        <f t="shared" ref="W71" si="10">SUM(W5:W70)</f>
        <v>0</v>
      </c>
      <c r="X71" s="213">
        <f t="shared" ref="X71" si="11">SUM(X5:X70)</f>
        <v>0</v>
      </c>
      <c r="Y71" s="213">
        <f t="shared" ref="Y71" si="12">SUM(Y5:Y70)</f>
        <v>0</v>
      </c>
      <c r="Z71" s="213">
        <f t="shared" ref="Z71" si="13">SUM(Z5:Z70)</f>
        <v>0</v>
      </c>
      <c r="AA71" s="213">
        <f t="shared" ref="AA71" si="14">SUM(AA5:AA70)</f>
        <v>0</v>
      </c>
      <c r="AB71" s="213">
        <f t="shared" ref="AB71" si="15">SUM(AB5:AB70)</f>
        <v>0</v>
      </c>
      <c r="AC71" s="213">
        <f t="shared" ref="AC71" si="16">SUM(AC5:AC70)</f>
        <v>622181</v>
      </c>
      <c r="AD71" s="213">
        <f t="shared" ref="AD71:AE71" si="17">SUM(AD5:AD70)</f>
        <v>609567.26599999995</v>
      </c>
      <c r="AE71" s="514">
        <f t="shared" si="17"/>
        <v>16849.637000000002</v>
      </c>
      <c r="AF71" s="213">
        <f t="shared" ref="AF71" si="18">SUM(AF5:AF70)</f>
        <v>22643</v>
      </c>
      <c r="AG71" s="213">
        <f t="shared" ref="AG71" si="19">SUM(AG5:AG70)</f>
        <v>27856.311999999998</v>
      </c>
      <c r="AH71" s="514">
        <f t="shared" ref="AH71" si="20">SUM(AH5:AH70)</f>
        <v>25111.499</v>
      </c>
      <c r="AI71" s="213">
        <f t="shared" ref="AI71" si="21">SUM(AI5:AI70)</f>
        <v>26106.298999999999</v>
      </c>
      <c r="AJ71" s="213">
        <f t="shared" ref="AJ71" si="22">SUM(AJ5:AJ70)</f>
        <v>76182.574999999997</v>
      </c>
      <c r="AK71" s="213">
        <f t="shared" ref="AK71" si="23">SUM(AK5:AK70)</f>
        <v>0</v>
      </c>
      <c r="AL71" s="213">
        <f t="shared" ref="AL71" si="24">SUM(AL5:AL70)</f>
        <v>10927.733</v>
      </c>
      <c r="AM71" s="213">
        <f t="shared" ref="AM71" si="25">SUM(AM5:AM70)</f>
        <v>10927.733</v>
      </c>
      <c r="AN71" s="213">
        <f>SUM(AN5:AN70)</f>
        <v>10927.733</v>
      </c>
      <c r="AO71" s="213">
        <f t="shared" ref="AO71:AQ71" si="26">SUM(AO5:AO70)</f>
        <v>1024827.6319999999</v>
      </c>
      <c r="AP71" s="213">
        <f>SUM(AP5:AP70)</f>
        <v>1149022.7959999999</v>
      </c>
      <c r="AQ71" s="213">
        <f t="shared" si="26"/>
        <v>376483.13699999999</v>
      </c>
      <c r="AR71" s="314">
        <f t="shared" si="2"/>
        <v>0.32765506333783828</v>
      </c>
      <c r="AS71" s="213">
        <f>SUM(AS5:AS69)</f>
        <v>0</v>
      </c>
      <c r="AT71" s="213"/>
      <c r="AU71" s="213"/>
      <c r="AV71" s="511"/>
      <c r="AW71" s="213"/>
      <c r="AX71" s="214"/>
      <c r="AY71" s="214"/>
    </row>
    <row r="72" spans="1:51" ht="15.75" x14ac:dyDescent="0.25">
      <c r="A72" s="76">
        <v>67</v>
      </c>
      <c r="B72" s="76"/>
      <c r="C72" s="76"/>
      <c r="D72" s="99" t="s">
        <v>353</v>
      </c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314"/>
      <c r="AS72" s="123"/>
      <c r="AT72" s="123"/>
      <c r="AU72" s="123"/>
      <c r="AV72" s="314"/>
      <c r="AW72" s="123"/>
      <c r="AX72" s="168"/>
      <c r="AY72" s="168"/>
    </row>
    <row r="73" spans="1:51" ht="15.75" x14ac:dyDescent="0.25">
      <c r="A73" s="76">
        <v>68</v>
      </c>
      <c r="B73" s="76"/>
      <c r="C73" s="96"/>
      <c r="D73" s="174" t="s">
        <v>354</v>
      </c>
      <c r="E73" s="173"/>
      <c r="F73" s="173"/>
      <c r="G73" s="4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314"/>
      <c r="AS73" s="171"/>
      <c r="AT73" s="171"/>
      <c r="AU73" s="171"/>
      <c r="AV73" s="512"/>
      <c r="AW73" s="171"/>
      <c r="AX73" s="172"/>
      <c r="AY73" s="172"/>
    </row>
    <row r="74" spans="1:51" ht="15.75" x14ac:dyDescent="0.25">
      <c r="A74" s="76">
        <v>69</v>
      </c>
      <c r="B74" s="76"/>
      <c r="C74" s="96"/>
      <c r="D74" s="174" t="s">
        <v>355</v>
      </c>
      <c r="E74" s="173"/>
      <c r="F74" s="173"/>
      <c r="G74" s="4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314"/>
      <c r="AS74" s="171"/>
      <c r="AT74" s="171"/>
      <c r="AU74" s="171"/>
      <c r="AV74" s="512"/>
      <c r="AW74" s="171"/>
      <c r="AX74" s="172"/>
      <c r="AY74" s="172"/>
    </row>
    <row r="75" spans="1:51" ht="15.75" x14ac:dyDescent="0.25">
      <c r="A75" s="76">
        <v>70</v>
      </c>
      <c r="B75" s="76"/>
      <c r="C75" s="96"/>
      <c r="D75" s="174" t="s">
        <v>356</v>
      </c>
      <c r="E75" s="173"/>
      <c r="F75" s="173"/>
      <c r="G75" s="4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314"/>
      <c r="AS75" s="171"/>
      <c r="AT75" s="171"/>
      <c r="AU75" s="171"/>
      <c r="AV75" s="512"/>
      <c r="AW75" s="171"/>
      <c r="AX75" s="172"/>
      <c r="AY75" s="172"/>
    </row>
    <row r="76" spans="1:51" ht="15.75" x14ac:dyDescent="0.25">
      <c r="A76" s="76">
        <v>71</v>
      </c>
      <c r="B76" s="76"/>
      <c r="C76" s="96"/>
      <c r="D76" s="174" t="s">
        <v>530</v>
      </c>
      <c r="E76" s="173"/>
      <c r="F76" s="173"/>
      <c r="G76" s="4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314"/>
      <c r="AS76" s="171"/>
      <c r="AT76" s="171"/>
      <c r="AU76" s="171"/>
      <c r="AV76" s="512"/>
      <c r="AW76" s="171"/>
      <c r="AX76" s="172"/>
      <c r="AY76" s="172"/>
    </row>
    <row r="77" spans="1:51" ht="15.75" x14ac:dyDescent="0.25">
      <c r="A77" s="76">
        <v>72</v>
      </c>
      <c r="B77" s="76"/>
      <c r="C77" s="96"/>
      <c r="D77" s="174" t="s">
        <v>357</v>
      </c>
      <c r="E77" s="173"/>
      <c r="F77" s="173"/>
      <c r="G77" s="4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314"/>
      <c r="AS77" s="171"/>
      <c r="AT77" s="171"/>
      <c r="AU77" s="171"/>
      <c r="AV77" s="512"/>
      <c r="AW77" s="171"/>
      <c r="AX77" s="172"/>
      <c r="AY77" s="172"/>
    </row>
    <row r="78" spans="1:51" s="107" customFormat="1" ht="15.75" x14ac:dyDescent="0.25">
      <c r="A78" s="76">
        <v>73</v>
      </c>
      <c r="B78" s="76"/>
      <c r="C78" s="169"/>
      <c r="D78" s="175" t="s">
        <v>192</v>
      </c>
      <c r="E78" s="176">
        <f>SUM(E73:E77)</f>
        <v>0</v>
      </c>
      <c r="F78" s="176">
        <f>SUM(F73:F77)</f>
        <v>0</v>
      </c>
      <c r="G78" s="472">
        <f>SUM(G73:G77)</f>
        <v>0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314"/>
      <c r="AS78" s="123"/>
      <c r="AT78" s="123"/>
      <c r="AU78" s="123"/>
      <c r="AV78" s="314"/>
      <c r="AW78" s="123"/>
      <c r="AX78" s="168"/>
      <c r="AY78" s="168"/>
    </row>
    <row r="79" spans="1:51" ht="15.75" x14ac:dyDescent="0.25">
      <c r="A79" s="76">
        <v>74</v>
      </c>
      <c r="B79" s="76"/>
      <c r="C79" s="96"/>
      <c r="D79" s="170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314"/>
      <c r="AS79" s="171"/>
      <c r="AT79" s="171"/>
      <c r="AU79" s="171"/>
      <c r="AV79" s="512"/>
      <c r="AW79" s="171"/>
      <c r="AX79" s="172"/>
      <c r="AY79" s="172"/>
    </row>
    <row r="80" spans="1:51" x14ac:dyDescent="0.25">
      <c r="A80" s="76">
        <v>75</v>
      </c>
      <c r="B80" s="76"/>
      <c r="C80" s="76"/>
      <c r="D80" s="103" t="s">
        <v>238</v>
      </c>
      <c r="E80" s="128">
        <f>SUMIF($C5:$C70,"kötelező",E5:E70)</f>
        <v>102010</v>
      </c>
      <c r="F80" s="128">
        <f t="shared" ref="F80:AQ80" si="27">SUMIF($C5:$C70,"kötelező",F5:F70)</f>
        <v>104117.599</v>
      </c>
      <c r="G80" s="128">
        <f t="shared" si="27"/>
        <v>100266.13100000001</v>
      </c>
      <c r="H80" s="128">
        <f t="shared" si="27"/>
        <v>12407.8</v>
      </c>
      <c r="I80" s="128">
        <f t="shared" si="27"/>
        <v>12843.901</v>
      </c>
      <c r="J80" s="128">
        <f t="shared" si="27"/>
        <v>12259.290999999999</v>
      </c>
      <c r="K80" s="128">
        <f t="shared" si="27"/>
        <v>93573.7</v>
      </c>
      <c r="L80" s="128">
        <f t="shared" si="27"/>
        <v>95194.642999999982</v>
      </c>
      <c r="M80" s="128">
        <f t="shared" si="27"/>
        <v>84753.430999999982</v>
      </c>
      <c r="N80" s="128">
        <f t="shared" si="27"/>
        <v>2000</v>
      </c>
      <c r="O80" s="128">
        <f t="shared" si="27"/>
        <v>8995.130000000001</v>
      </c>
      <c r="P80" s="128">
        <f t="shared" si="27"/>
        <v>8522.52</v>
      </c>
      <c r="Q80" s="128">
        <f t="shared" si="27"/>
        <v>22742.1</v>
      </c>
      <c r="R80" s="128">
        <f t="shared" si="27"/>
        <v>21099.644999999997</v>
      </c>
      <c r="S80" s="128">
        <f t="shared" si="27"/>
        <v>21085.827999999998</v>
      </c>
      <c r="T80" s="128">
        <f t="shared" si="27"/>
        <v>5903</v>
      </c>
      <c r="U80" s="128">
        <f t="shared" si="27"/>
        <v>5903</v>
      </c>
      <c r="V80" s="128">
        <f t="shared" si="27"/>
        <v>5607.9030000000002</v>
      </c>
      <c r="W80" s="128">
        <f t="shared" si="27"/>
        <v>0</v>
      </c>
      <c r="X80" s="128">
        <f t="shared" si="27"/>
        <v>0</v>
      </c>
      <c r="Y80" s="128">
        <f t="shared" si="27"/>
        <v>0</v>
      </c>
      <c r="Z80" s="128">
        <f t="shared" si="27"/>
        <v>0</v>
      </c>
      <c r="AA80" s="128">
        <f t="shared" si="27"/>
        <v>0</v>
      </c>
      <c r="AB80" s="128">
        <f t="shared" si="27"/>
        <v>0</v>
      </c>
      <c r="AC80" s="128">
        <f t="shared" si="27"/>
        <v>15259</v>
      </c>
      <c r="AD80" s="128">
        <f t="shared" si="27"/>
        <v>14390.9</v>
      </c>
      <c r="AE80" s="128">
        <f t="shared" si="27"/>
        <v>14099.637000000001</v>
      </c>
      <c r="AF80" s="128">
        <f t="shared" si="27"/>
        <v>22643</v>
      </c>
      <c r="AG80" s="128">
        <f t="shared" si="27"/>
        <v>27856.311999999998</v>
      </c>
      <c r="AH80" s="128">
        <f t="shared" si="27"/>
        <v>25111.499</v>
      </c>
      <c r="AI80" s="128">
        <f t="shared" si="27"/>
        <v>0</v>
      </c>
      <c r="AJ80" s="128">
        <f t="shared" si="27"/>
        <v>0</v>
      </c>
      <c r="AK80" s="128">
        <f t="shared" si="27"/>
        <v>0</v>
      </c>
      <c r="AL80" s="128">
        <f t="shared" si="27"/>
        <v>10927.733</v>
      </c>
      <c r="AM80" s="128">
        <f t="shared" si="27"/>
        <v>10927.733</v>
      </c>
      <c r="AN80" s="128">
        <f t="shared" si="27"/>
        <v>10927.733</v>
      </c>
      <c r="AO80" s="128">
        <f t="shared" si="27"/>
        <v>287466.33299999998</v>
      </c>
      <c r="AP80" s="128">
        <f t="shared" si="27"/>
        <v>301328.86300000001</v>
      </c>
      <c r="AQ80" s="128">
        <f t="shared" si="27"/>
        <v>282633.973</v>
      </c>
      <c r="AR80" s="314">
        <f t="shared" ref="AR80:AR99" si="28">AQ80/AP80</f>
        <v>0.93795851544430375</v>
      </c>
      <c r="AS80" s="124"/>
      <c r="AT80" s="124"/>
      <c r="AU80" s="124"/>
      <c r="AV80" s="509"/>
      <c r="AW80" s="124"/>
      <c r="AX80" s="104"/>
      <c r="AY80" s="104"/>
    </row>
    <row r="81" spans="1:52" x14ac:dyDescent="0.25">
      <c r="A81" s="76">
        <v>76</v>
      </c>
      <c r="B81" s="76"/>
      <c r="C81" s="76"/>
      <c r="D81" s="103" t="s">
        <v>239</v>
      </c>
      <c r="E81" s="128">
        <f>SUMIF($C5:$C70,"nem kötelező",E5:E70)</f>
        <v>22268</v>
      </c>
      <c r="F81" s="128">
        <f t="shared" ref="F81:AQ81" si="29">SUMIF($C5:$C70,"nem kötelező",F5:F70)</f>
        <v>39941.199999999997</v>
      </c>
      <c r="G81" s="128">
        <f t="shared" si="29"/>
        <v>11032.92</v>
      </c>
      <c r="H81" s="128">
        <f t="shared" si="29"/>
        <v>5460</v>
      </c>
      <c r="I81" s="128">
        <f t="shared" si="29"/>
        <v>8911.2999999999993</v>
      </c>
      <c r="J81" s="128">
        <f t="shared" si="29"/>
        <v>1945.1239999999998</v>
      </c>
      <c r="K81" s="128">
        <f t="shared" si="29"/>
        <v>67480</v>
      </c>
      <c r="L81" s="128">
        <f t="shared" si="29"/>
        <v>118027.70200000002</v>
      </c>
      <c r="M81" s="128">
        <f t="shared" si="29"/>
        <v>70629.826000000001</v>
      </c>
      <c r="N81" s="128">
        <f t="shared" si="29"/>
        <v>3400</v>
      </c>
      <c r="O81" s="128">
        <f t="shared" si="29"/>
        <v>3408.5899999999997</v>
      </c>
      <c r="P81" s="128">
        <f t="shared" si="29"/>
        <v>1465.175</v>
      </c>
      <c r="Q81" s="128">
        <f t="shared" si="29"/>
        <v>4250</v>
      </c>
      <c r="R81" s="128">
        <f t="shared" si="29"/>
        <v>4570</v>
      </c>
      <c r="S81" s="128">
        <f t="shared" si="29"/>
        <v>4570</v>
      </c>
      <c r="T81" s="128">
        <f t="shared" si="29"/>
        <v>1475</v>
      </c>
      <c r="U81" s="128">
        <f t="shared" si="29"/>
        <v>1476.2</v>
      </c>
      <c r="V81" s="128">
        <f t="shared" si="29"/>
        <v>1456.1190000000001</v>
      </c>
      <c r="W81" s="128">
        <f t="shared" si="29"/>
        <v>0</v>
      </c>
      <c r="X81" s="128">
        <f t="shared" si="29"/>
        <v>0</v>
      </c>
      <c r="Y81" s="128">
        <f t="shared" si="29"/>
        <v>0</v>
      </c>
      <c r="Z81" s="128">
        <f t="shared" si="29"/>
        <v>0</v>
      </c>
      <c r="AA81" s="128">
        <f t="shared" si="29"/>
        <v>0</v>
      </c>
      <c r="AB81" s="128">
        <f t="shared" si="29"/>
        <v>0</v>
      </c>
      <c r="AC81" s="128">
        <f t="shared" si="29"/>
        <v>606922</v>
      </c>
      <c r="AD81" s="128">
        <f t="shared" si="29"/>
        <v>595176.36599999992</v>
      </c>
      <c r="AE81" s="128">
        <f t="shared" si="29"/>
        <v>2750</v>
      </c>
      <c r="AF81" s="128">
        <f t="shared" si="29"/>
        <v>0</v>
      </c>
      <c r="AG81" s="128">
        <f t="shared" si="29"/>
        <v>0</v>
      </c>
      <c r="AH81" s="128">
        <f t="shared" si="29"/>
        <v>0</v>
      </c>
      <c r="AI81" s="128">
        <f t="shared" si="29"/>
        <v>26106.298999999999</v>
      </c>
      <c r="AJ81" s="128">
        <f t="shared" si="29"/>
        <v>76182.574999999997</v>
      </c>
      <c r="AK81" s="128">
        <f t="shared" si="29"/>
        <v>0</v>
      </c>
      <c r="AL81" s="128">
        <f t="shared" si="29"/>
        <v>0</v>
      </c>
      <c r="AM81" s="128">
        <f t="shared" si="29"/>
        <v>0</v>
      </c>
      <c r="AN81" s="128">
        <f t="shared" si="29"/>
        <v>0</v>
      </c>
      <c r="AO81" s="128">
        <f t="shared" si="29"/>
        <v>737361.299</v>
      </c>
      <c r="AP81" s="128">
        <f t="shared" si="29"/>
        <v>847693.93299999996</v>
      </c>
      <c r="AQ81" s="128">
        <f t="shared" si="29"/>
        <v>93849.164000000019</v>
      </c>
      <c r="AR81" s="314">
        <f t="shared" si="28"/>
        <v>0.11071114272089526</v>
      </c>
      <c r="AS81" s="128">
        <f>SUMIF($C5:$C69,"nem kötelező",AS5:AS69)</f>
        <v>0</v>
      </c>
      <c r="AT81" s="128"/>
      <c r="AU81" s="128"/>
      <c r="AV81" s="510"/>
      <c r="AW81" s="124"/>
      <c r="AX81" s="104"/>
      <c r="AY81" s="104"/>
    </row>
    <row r="82" spans="1:52" s="107" customFormat="1" x14ac:dyDescent="0.25">
      <c r="A82" s="76">
        <v>77</v>
      </c>
      <c r="B82" s="76"/>
      <c r="C82" s="105"/>
      <c r="D82" s="106" t="s">
        <v>315</v>
      </c>
      <c r="E82" s="130">
        <f>SUM(E83:E84)</f>
        <v>58457</v>
      </c>
      <c r="F82" s="130">
        <f>SUM(F83:F84)</f>
        <v>61180.608999999997</v>
      </c>
      <c r="G82" s="130">
        <f>SUM(G83:G84)</f>
        <v>60548.112000000001</v>
      </c>
      <c r="H82" s="130">
        <f t="shared" ref="H82:AU82" si="30">SUM(H83:H84)</f>
        <v>11630</v>
      </c>
      <c r="I82" s="130">
        <f t="shared" si="30"/>
        <v>12058.841</v>
      </c>
      <c r="J82" s="130">
        <f t="shared" si="30"/>
        <v>12058.841</v>
      </c>
      <c r="K82" s="130">
        <f t="shared" si="30"/>
        <v>10495</v>
      </c>
      <c r="L82" s="130">
        <f t="shared" si="30"/>
        <v>9576.1489999999994</v>
      </c>
      <c r="M82" s="130">
        <f t="shared" si="30"/>
        <v>9576.1489999999994</v>
      </c>
      <c r="N82" s="130">
        <f t="shared" si="30"/>
        <v>0</v>
      </c>
      <c r="O82" s="130">
        <f t="shared" si="30"/>
        <v>0</v>
      </c>
      <c r="P82" s="130">
        <f t="shared" si="30"/>
        <v>0</v>
      </c>
      <c r="Q82" s="130">
        <f t="shared" si="30"/>
        <v>0</v>
      </c>
      <c r="R82" s="130">
        <f t="shared" si="30"/>
        <v>0</v>
      </c>
      <c r="S82" s="130">
        <f t="shared" si="30"/>
        <v>0</v>
      </c>
      <c r="T82" s="130">
        <f t="shared" si="30"/>
        <v>0</v>
      </c>
      <c r="U82" s="130">
        <f t="shared" si="30"/>
        <v>0</v>
      </c>
      <c r="V82" s="130">
        <f t="shared" si="30"/>
        <v>0</v>
      </c>
      <c r="W82" s="130">
        <f t="shared" si="30"/>
        <v>0</v>
      </c>
      <c r="X82" s="130">
        <f t="shared" si="30"/>
        <v>0</v>
      </c>
      <c r="Y82" s="130">
        <f t="shared" si="30"/>
        <v>0</v>
      </c>
      <c r="Z82" s="130">
        <v>0</v>
      </c>
      <c r="AA82" s="130">
        <v>0</v>
      </c>
      <c r="AB82" s="130">
        <v>0</v>
      </c>
      <c r="AC82" s="130">
        <f t="shared" si="30"/>
        <v>127</v>
      </c>
      <c r="AD82" s="130">
        <f t="shared" si="30"/>
        <v>183.81899999999999</v>
      </c>
      <c r="AE82" s="130">
        <f t="shared" si="30"/>
        <v>183.81899999999999</v>
      </c>
      <c r="AF82" s="130">
        <f t="shared" si="30"/>
        <v>0</v>
      </c>
      <c r="AG82" s="130">
        <f t="shared" si="30"/>
        <v>0</v>
      </c>
      <c r="AH82" s="130">
        <f t="shared" si="30"/>
        <v>0</v>
      </c>
      <c r="AI82" s="130">
        <f t="shared" si="30"/>
        <v>0</v>
      </c>
      <c r="AJ82" s="130">
        <f t="shared" si="30"/>
        <v>0</v>
      </c>
      <c r="AK82" s="130">
        <f t="shared" si="30"/>
        <v>0</v>
      </c>
      <c r="AL82" s="130">
        <f t="shared" si="30"/>
        <v>0</v>
      </c>
      <c r="AM82" s="130">
        <f t="shared" si="30"/>
        <v>0</v>
      </c>
      <c r="AN82" s="130">
        <f t="shared" si="30"/>
        <v>0</v>
      </c>
      <c r="AO82" s="130">
        <f>SUM(AO83:AO84)</f>
        <v>80709</v>
      </c>
      <c r="AP82" s="130">
        <f>SUM(AP83:AP84)</f>
        <v>82999.418000000005</v>
      </c>
      <c r="AQ82" s="130">
        <f>SUM(AQ83:AQ84)</f>
        <v>82366.921000000002</v>
      </c>
      <c r="AR82" s="314">
        <f t="shared" si="28"/>
        <v>0.99237950078155968</v>
      </c>
      <c r="AS82" s="130">
        <f t="shared" si="30"/>
        <v>80370.899999999994</v>
      </c>
      <c r="AT82" s="130">
        <f t="shared" si="30"/>
        <v>81082.620999999999</v>
      </c>
      <c r="AU82" s="130">
        <f t="shared" si="30"/>
        <v>81082.620999999999</v>
      </c>
      <c r="AV82" s="513">
        <f>AU82/AT82</f>
        <v>1</v>
      </c>
      <c r="AW82" s="124"/>
      <c r="AX82" s="104"/>
      <c r="AY82" s="104"/>
    </row>
    <row r="83" spans="1:52" x14ac:dyDescent="0.25">
      <c r="A83" s="76">
        <v>78</v>
      </c>
      <c r="B83" s="76"/>
      <c r="C83" s="76" t="s">
        <v>207</v>
      </c>
      <c r="D83" s="108" t="s">
        <v>238</v>
      </c>
      <c r="E83" s="125">
        <v>52457</v>
      </c>
      <c r="F83" s="125">
        <v>55180.608999999997</v>
      </c>
      <c r="G83" s="125">
        <v>54548.112000000001</v>
      </c>
      <c r="H83" s="125">
        <v>10460</v>
      </c>
      <c r="I83" s="125">
        <v>10888.841</v>
      </c>
      <c r="J83" s="125">
        <v>10888.841</v>
      </c>
      <c r="K83" s="125">
        <v>10495</v>
      </c>
      <c r="L83" s="125">
        <v>9576.1489999999994</v>
      </c>
      <c r="M83" s="125">
        <v>9576.1489999999994</v>
      </c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>
        <v>127</v>
      </c>
      <c r="AD83" s="125">
        <v>183.81899999999999</v>
      </c>
      <c r="AE83" s="125">
        <v>183.81899999999999</v>
      </c>
      <c r="AF83" s="125"/>
      <c r="AG83" s="125"/>
      <c r="AH83" s="125"/>
      <c r="AI83" s="125"/>
      <c r="AJ83" s="125"/>
      <c r="AK83" s="125"/>
      <c r="AL83" s="125"/>
      <c r="AM83" s="125"/>
      <c r="AN83" s="125"/>
      <c r="AO83" s="125">
        <f t="shared" ref="AO83:AQ84" si="31">E83+H83+K83+N83+Q83+T83+W83+Z83+AC83+AF83+AI83+AL83</f>
        <v>73539</v>
      </c>
      <c r="AP83" s="125">
        <f t="shared" si="31"/>
        <v>75829.418000000005</v>
      </c>
      <c r="AQ83" s="125">
        <f t="shared" si="31"/>
        <v>75196.921000000002</v>
      </c>
      <c r="AR83" s="314">
        <f t="shared" si="28"/>
        <v>0.99165894956493006</v>
      </c>
      <c r="AS83" s="131">
        <v>73200.899999999994</v>
      </c>
      <c r="AT83" s="131">
        <v>73912.620999999999</v>
      </c>
      <c r="AU83" s="131">
        <v>73912.620999999999</v>
      </c>
      <c r="AV83" s="513">
        <f t="shared" ref="AV83:AV99" si="32">AU83/AT83</f>
        <v>1</v>
      </c>
      <c r="AW83" s="131"/>
      <c r="AX83" s="109"/>
      <c r="AY83" s="109"/>
    </row>
    <row r="84" spans="1:52" x14ac:dyDescent="0.25">
      <c r="A84" s="76">
        <v>79</v>
      </c>
      <c r="B84" s="76"/>
      <c r="C84" s="76" t="s">
        <v>306</v>
      </c>
      <c r="D84" s="108" t="s">
        <v>305</v>
      </c>
      <c r="E84" s="125">
        <v>6000</v>
      </c>
      <c r="F84" s="125">
        <v>6000</v>
      </c>
      <c r="G84" s="125">
        <v>6000</v>
      </c>
      <c r="H84" s="125">
        <v>1170</v>
      </c>
      <c r="I84" s="125">
        <v>1170</v>
      </c>
      <c r="J84" s="125">
        <v>1170</v>
      </c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>
        <f t="shared" si="31"/>
        <v>7170</v>
      </c>
      <c r="AP84" s="125">
        <f t="shared" si="31"/>
        <v>7170</v>
      </c>
      <c r="AQ84" s="125">
        <f t="shared" si="31"/>
        <v>7170</v>
      </c>
      <c r="AR84" s="314">
        <f t="shared" si="28"/>
        <v>1</v>
      </c>
      <c r="AS84" s="131">
        <v>7170</v>
      </c>
      <c r="AT84" s="131">
        <v>7170</v>
      </c>
      <c r="AU84" s="131">
        <v>7170</v>
      </c>
      <c r="AV84" s="513">
        <f t="shared" si="32"/>
        <v>1</v>
      </c>
      <c r="AW84" s="131"/>
      <c r="AX84" s="109"/>
      <c r="AY84" s="109"/>
    </row>
    <row r="85" spans="1:52" s="107" customFormat="1" x14ac:dyDescent="0.25">
      <c r="A85" s="76">
        <v>80</v>
      </c>
      <c r="B85" s="76"/>
      <c r="C85" s="105"/>
      <c r="D85" s="106" t="s">
        <v>240</v>
      </c>
      <c r="E85" s="130">
        <f>SUM(E86:E87)</f>
        <v>76226</v>
      </c>
      <c r="F85" s="130">
        <f>SUM(F86:F87)</f>
        <v>75640.672000000006</v>
      </c>
      <c r="G85" s="130">
        <f>SUM(G86:G87)</f>
        <v>75640.672000000006</v>
      </c>
      <c r="H85" s="130">
        <f t="shared" ref="H85:AU85" si="33">SUM(H86:H87)</f>
        <v>14952</v>
      </c>
      <c r="I85" s="130">
        <f t="shared" si="33"/>
        <v>15274.794</v>
      </c>
      <c r="J85" s="130">
        <f t="shared" si="33"/>
        <v>15274.794</v>
      </c>
      <c r="K85" s="130">
        <f t="shared" si="33"/>
        <v>6263</v>
      </c>
      <c r="L85" s="130">
        <f t="shared" si="33"/>
        <v>5139.3119999999999</v>
      </c>
      <c r="M85" s="130">
        <f t="shared" si="33"/>
        <v>5139.3119999999999</v>
      </c>
      <c r="N85" s="130">
        <f t="shared" si="33"/>
        <v>0</v>
      </c>
      <c r="O85" s="130">
        <f t="shared" si="33"/>
        <v>0</v>
      </c>
      <c r="P85" s="130">
        <f t="shared" si="33"/>
        <v>0</v>
      </c>
      <c r="Q85" s="130">
        <f t="shared" si="33"/>
        <v>0</v>
      </c>
      <c r="R85" s="130">
        <f t="shared" si="33"/>
        <v>0</v>
      </c>
      <c r="S85" s="130">
        <f t="shared" si="33"/>
        <v>0</v>
      </c>
      <c r="T85" s="130">
        <f t="shared" si="33"/>
        <v>0</v>
      </c>
      <c r="U85" s="130">
        <f t="shared" si="33"/>
        <v>0</v>
      </c>
      <c r="V85" s="130">
        <f t="shared" si="33"/>
        <v>0</v>
      </c>
      <c r="W85" s="130">
        <f t="shared" si="33"/>
        <v>0</v>
      </c>
      <c r="X85" s="130">
        <f t="shared" si="33"/>
        <v>0</v>
      </c>
      <c r="Y85" s="130">
        <f t="shared" si="33"/>
        <v>0</v>
      </c>
      <c r="Z85" s="130">
        <f t="shared" si="33"/>
        <v>0</v>
      </c>
      <c r="AA85" s="130">
        <f t="shared" si="33"/>
        <v>0</v>
      </c>
      <c r="AB85" s="130">
        <f t="shared" si="33"/>
        <v>0</v>
      </c>
      <c r="AC85" s="130">
        <f t="shared" si="33"/>
        <v>127</v>
      </c>
      <c r="AD85" s="130">
        <f t="shared" si="33"/>
        <v>1222.5450000000001</v>
      </c>
      <c r="AE85" s="130">
        <f t="shared" si="33"/>
        <v>1222.5450000000001</v>
      </c>
      <c r="AF85" s="130">
        <f t="shared" si="33"/>
        <v>0</v>
      </c>
      <c r="AG85" s="130">
        <f t="shared" si="33"/>
        <v>0</v>
      </c>
      <c r="AH85" s="130">
        <f t="shared" si="33"/>
        <v>0</v>
      </c>
      <c r="AI85" s="130">
        <f t="shared" si="33"/>
        <v>0</v>
      </c>
      <c r="AJ85" s="130">
        <f t="shared" si="33"/>
        <v>0</v>
      </c>
      <c r="AK85" s="130">
        <f t="shared" si="33"/>
        <v>0</v>
      </c>
      <c r="AL85" s="130">
        <f t="shared" si="33"/>
        <v>0</v>
      </c>
      <c r="AM85" s="130">
        <f t="shared" si="33"/>
        <v>0</v>
      </c>
      <c r="AN85" s="130">
        <f t="shared" si="33"/>
        <v>0</v>
      </c>
      <c r="AO85" s="130">
        <f t="shared" si="33"/>
        <v>97568</v>
      </c>
      <c r="AP85" s="130">
        <f t="shared" si="33"/>
        <v>97277.322999999989</v>
      </c>
      <c r="AQ85" s="130">
        <f t="shared" si="33"/>
        <v>97277.322999999989</v>
      </c>
      <c r="AR85" s="314">
        <f t="shared" si="28"/>
        <v>1</v>
      </c>
      <c r="AS85" s="130">
        <f t="shared" si="33"/>
        <v>97262.9</v>
      </c>
      <c r="AT85" s="130">
        <f>SUM(AT86:AT87)</f>
        <v>96970.73599999999</v>
      </c>
      <c r="AU85" s="130">
        <f t="shared" si="33"/>
        <v>96970.73599999999</v>
      </c>
      <c r="AV85" s="513">
        <f t="shared" si="32"/>
        <v>1</v>
      </c>
      <c r="AW85" s="124"/>
      <c r="AX85" s="104"/>
      <c r="AY85" s="104"/>
    </row>
    <row r="86" spans="1:52" x14ac:dyDescent="0.25">
      <c r="A86" s="76">
        <v>81</v>
      </c>
      <c r="B86" s="76"/>
      <c r="C86" s="76" t="s">
        <v>207</v>
      </c>
      <c r="D86" s="108" t="s">
        <v>238</v>
      </c>
      <c r="E86" s="125">
        <v>76101</v>
      </c>
      <c r="F86" s="125">
        <v>75515.672000000006</v>
      </c>
      <c r="G86" s="125">
        <v>75515.672000000006</v>
      </c>
      <c r="H86" s="125">
        <v>14932</v>
      </c>
      <c r="I86" s="125">
        <v>15250.419</v>
      </c>
      <c r="J86" s="125">
        <v>15250.419</v>
      </c>
      <c r="K86" s="125">
        <v>6238</v>
      </c>
      <c r="L86" s="125">
        <v>5114.0259999999998</v>
      </c>
      <c r="M86" s="125">
        <v>5114.0259999999998</v>
      </c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>
        <v>127</v>
      </c>
      <c r="AD86" s="125">
        <v>1222.5450000000001</v>
      </c>
      <c r="AE86" s="125">
        <v>1222.5450000000001</v>
      </c>
      <c r="AF86" s="125"/>
      <c r="AG86" s="125"/>
      <c r="AH86" s="125"/>
      <c r="AI86" s="125"/>
      <c r="AJ86" s="125"/>
      <c r="AK86" s="125"/>
      <c r="AL86" s="125"/>
      <c r="AM86" s="125"/>
      <c r="AN86" s="125"/>
      <c r="AO86" s="125">
        <f t="shared" ref="AO86:AQ87" si="34">E86+H86+K86+N86+Q86+T86+W86+Z86+AC86+AF86+AI86+AL86</f>
        <v>97398</v>
      </c>
      <c r="AP86" s="125">
        <f t="shared" si="34"/>
        <v>97102.661999999997</v>
      </c>
      <c r="AQ86" s="125">
        <f t="shared" si="34"/>
        <v>97102.661999999997</v>
      </c>
      <c r="AR86" s="314">
        <f t="shared" si="28"/>
        <v>1</v>
      </c>
      <c r="AS86" s="131">
        <v>97092.9</v>
      </c>
      <c r="AT86" s="131">
        <v>96796.074999999997</v>
      </c>
      <c r="AU86" s="131">
        <v>96796.074999999997</v>
      </c>
      <c r="AV86" s="513">
        <f t="shared" si="32"/>
        <v>1</v>
      </c>
      <c r="AW86" s="131"/>
      <c r="AX86" s="109"/>
      <c r="AY86" s="109"/>
    </row>
    <row r="87" spans="1:52" x14ac:dyDescent="0.25">
      <c r="A87" s="76">
        <v>82</v>
      </c>
      <c r="B87" s="76"/>
      <c r="C87" s="76" t="s">
        <v>213</v>
      </c>
      <c r="D87" s="108" t="s">
        <v>239</v>
      </c>
      <c r="E87" s="125">
        <v>125</v>
      </c>
      <c r="F87" s="125">
        <v>125</v>
      </c>
      <c r="G87" s="125">
        <v>125</v>
      </c>
      <c r="H87" s="125">
        <v>20</v>
      </c>
      <c r="I87" s="125">
        <v>24.375</v>
      </c>
      <c r="J87" s="125">
        <v>24.375</v>
      </c>
      <c r="K87" s="125">
        <v>25</v>
      </c>
      <c r="L87" s="125">
        <v>25.286000000000001</v>
      </c>
      <c r="M87" s="125">
        <v>25.286000000000001</v>
      </c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>
        <f t="shared" si="34"/>
        <v>170</v>
      </c>
      <c r="AP87" s="125">
        <f t="shared" si="34"/>
        <v>174.661</v>
      </c>
      <c r="AQ87" s="125">
        <f t="shared" si="34"/>
        <v>174.661</v>
      </c>
      <c r="AR87" s="314">
        <f t="shared" si="28"/>
        <v>1</v>
      </c>
      <c r="AS87" s="131">
        <v>170</v>
      </c>
      <c r="AT87" s="131">
        <v>174.661</v>
      </c>
      <c r="AU87" s="131">
        <v>174.661</v>
      </c>
      <c r="AV87" s="513">
        <f t="shared" si="32"/>
        <v>1</v>
      </c>
      <c r="AW87" s="131"/>
      <c r="AX87" s="109"/>
      <c r="AY87" s="109"/>
    </row>
    <row r="88" spans="1:52" s="107" customFormat="1" x14ac:dyDescent="0.25">
      <c r="A88" s="76">
        <v>83</v>
      </c>
      <c r="B88" s="76"/>
      <c r="C88" s="105"/>
      <c r="D88" s="106" t="s">
        <v>241</v>
      </c>
      <c r="E88" s="130">
        <f>SUM(E89:E90)</f>
        <v>81168</v>
      </c>
      <c r="F88" s="130">
        <f>SUM(F89:F90)</f>
        <v>91651.437000000005</v>
      </c>
      <c r="G88" s="130">
        <f>SUM(G89:G90)</f>
        <v>91334.771000000008</v>
      </c>
      <c r="H88" s="130">
        <f t="shared" ref="H88:AU88" si="35">SUM(H89:H90)</f>
        <v>15783</v>
      </c>
      <c r="I88" s="130">
        <f t="shared" si="35"/>
        <v>18768.174999999999</v>
      </c>
      <c r="J88" s="130">
        <f t="shared" si="35"/>
        <v>18768.174999999999</v>
      </c>
      <c r="K88" s="130">
        <f t="shared" si="35"/>
        <v>46957</v>
      </c>
      <c r="L88" s="130">
        <f t="shared" si="35"/>
        <v>38906.995999999999</v>
      </c>
      <c r="M88" s="130">
        <f t="shared" si="35"/>
        <v>38906.995999999999</v>
      </c>
      <c r="N88" s="130">
        <f t="shared" si="35"/>
        <v>0</v>
      </c>
      <c r="O88" s="130">
        <f t="shared" si="35"/>
        <v>0</v>
      </c>
      <c r="P88" s="130">
        <f t="shared" si="35"/>
        <v>0</v>
      </c>
      <c r="Q88" s="130">
        <f t="shared" si="35"/>
        <v>120</v>
      </c>
      <c r="R88" s="130">
        <f t="shared" si="35"/>
        <v>120</v>
      </c>
      <c r="S88" s="130">
        <f t="shared" si="35"/>
        <v>120</v>
      </c>
      <c r="T88" s="130">
        <f t="shared" si="35"/>
        <v>0</v>
      </c>
      <c r="U88" s="130">
        <f t="shared" si="35"/>
        <v>0</v>
      </c>
      <c r="V88" s="130">
        <f t="shared" si="35"/>
        <v>0</v>
      </c>
      <c r="W88" s="130">
        <f t="shared" si="35"/>
        <v>0</v>
      </c>
      <c r="X88" s="130">
        <f t="shared" si="35"/>
        <v>0</v>
      </c>
      <c r="Y88" s="130">
        <f t="shared" si="35"/>
        <v>0</v>
      </c>
      <c r="Z88" s="130">
        <v>0</v>
      </c>
      <c r="AA88" s="130">
        <v>0</v>
      </c>
      <c r="AB88" s="130">
        <v>0</v>
      </c>
      <c r="AC88" s="130">
        <f t="shared" si="35"/>
        <v>127</v>
      </c>
      <c r="AD88" s="130">
        <f t="shared" si="35"/>
        <v>285.04000000000002</v>
      </c>
      <c r="AE88" s="130">
        <f t="shared" si="35"/>
        <v>285.04000000000002</v>
      </c>
      <c r="AF88" s="130">
        <f t="shared" si="35"/>
        <v>0</v>
      </c>
      <c r="AG88" s="130">
        <f t="shared" si="35"/>
        <v>0</v>
      </c>
      <c r="AH88" s="130">
        <f t="shared" si="35"/>
        <v>0</v>
      </c>
      <c r="AI88" s="130">
        <f t="shared" si="35"/>
        <v>0</v>
      </c>
      <c r="AJ88" s="130">
        <f t="shared" si="35"/>
        <v>0</v>
      </c>
      <c r="AK88" s="130">
        <f t="shared" si="35"/>
        <v>0</v>
      </c>
      <c r="AL88" s="130">
        <f t="shared" si="35"/>
        <v>0</v>
      </c>
      <c r="AM88" s="130">
        <f t="shared" si="35"/>
        <v>0</v>
      </c>
      <c r="AN88" s="130">
        <f t="shared" si="35"/>
        <v>0</v>
      </c>
      <c r="AO88" s="130">
        <f t="shared" si="35"/>
        <v>144155</v>
      </c>
      <c r="AP88" s="130">
        <f t="shared" si="35"/>
        <v>149731.64799999999</v>
      </c>
      <c r="AQ88" s="130">
        <f t="shared" ref="AQ88" si="36">SUM(AQ89:AQ90)</f>
        <v>149414.98199999999</v>
      </c>
      <c r="AR88" s="314">
        <f t="shared" si="28"/>
        <v>0.99788510976650713</v>
      </c>
      <c r="AS88" s="130">
        <f t="shared" si="35"/>
        <v>110751</v>
      </c>
      <c r="AT88" s="130">
        <f t="shared" si="35"/>
        <v>116335.613</v>
      </c>
      <c r="AU88" s="130">
        <f t="shared" si="35"/>
        <v>116335.613</v>
      </c>
      <c r="AV88" s="513">
        <f t="shared" si="32"/>
        <v>1</v>
      </c>
      <c r="AW88" s="124"/>
      <c r="AX88" s="104"/>
      <c r="AY88" s="104"/>
    </row>
    <row r="89" spans="1:52" x14ac:dyDescent="0.25">
      <c r="A89" s="76">
        <v>84</v>
      </c>
      <c r="B89" s="76"/>
      <c r="C89" s="76" t="s">
        <v>207</v>
      </c>
      <c r="D89" s="108" t="s">
        <v>238</v>
      </c>
      <c r="E89" s="125">
        <v>31290</v>
      </c>
      <c r="F89" s="125">
        <v>37705.19</v>
      </c>
      <c r="G89" s="125">
        <v>37705.19</v>
      </c>
      <c r="H89" s="125">
        <v>6095</v>
      </c>
      <c r="I89" s="125">
        <v>7781.8239999999996</v>
      </c>
      <c r="J89" s="125">
        <v>7781.8239999999996</v>
      </c>
      <c r="K89" s="125">
        <v>14365</v>
      </c>
      <c r="L89" s="125">
        <v>11559.786</v>
      </c>
      <c r="M89" s="125">
        <v>11559.791999999999</v>
      </c>
      <c r="N89" s="125"/>
      <c r="O89" s="125"/>
      <c r="P89" s="125"/>
      <c r="Q89" s="125">
        <v>120</v>
      </c>
      <c r="R89" s="125">
        <v>120</v>
      </c>
      <c r="S89" s="125">
        <v>120</v>
      </c>
      <c r="T89" s="125"/>
      <c r="U89" s="125"/>
      <c r="V89" s="125"/>
      <c r="W89" s="125"/>
      <c r="X89" s="125"/>
      <c r="Y89" s="125"/>
      <c r="Z89" s="125"/>
      <c r="AA89" s="125"/>
      <c r="AB89" s="125"/>
      <c r="AC89" s="125">
        <v>127</v>
      </c>
      <c r="AD89" s="125">
        <v>80.45</v>
      </c>
      <c r="AE89" s="125">
        <v>80.45</v>
      </c>
      <c r="AF89" s="125"/>
      <c r="AG89" s="125"/>
      <c r="AH89" s="125"/>
      <c r="AI89" s="125"/>
      <c r="AJ89" s="125"/>
      <c r="AK89" s="125"/>
      <c r="AL89" s="125"/>
      <c r="AM89" s="125"/>
      <c r="AN89" s="125"/>
      <c r="AO89" s="125">
        <f t="shared" ref="AO89:AQ90" si="37">E89+H89+K89+N89+Q89+T89+W89+Z89+AC89+AF89+AI89+AL89</f>
        <v>51997</v>
      </c>
      <c r="AP89" s="125">
        <f t="shared" si="37"/>
        <v>57247.25</v>
      </c>
      <c r="AQ89" s="125">
        <f t="shared" si="37"/>
        <v>57247.256000000001</v>
      </c>
      <c r="AR89" s="314">
        <f t="shared" si="28"/>
        <v>1.0000001048085279</v>
      </c>
      <c r="AS89" s="131">
        <v>47013</v>
      </c>
      <c r="AT89" s="131">
        <v>52679.644999999997</v>
      </c>
      <c r="AU89" s="131">
        <v>52679.650999999998</v>
      </c>
      <c r="AV89" s="513">
        <f t="shared" si="32"/>
        <v>1.000000113895984</v>
      </c>
      <c r="AW89" s="131"/>
      <c r="AX89" s="109"/>
      <c r="AY89" s="109"/>
    </row>
    <row r="90" spans="1:52" x14ac:dyDescent="0.25">
      <c r="A90" s="76">
        <v>85</v>
      </c>
      <c r="B90" s="76"/>
      <c r="C90" s="76" t="s">
        <v>213</v>
      </c>
      <c r="D90" s="108" t="s">
        <v>239</v>
      </c>
      <c r="E90" s="125">
        <v>49878</v>
      </c>
      <c r="F90" s="125">
        <v>53946.247000000003</v>
      </c>
      <c r="G90" s="125">
        <v>53629.580999999998</v>
      </c>
      <c r="H90" s="125">
        <v>9688</v>
      </c>
      <c r="I90" s="125">
        <v>10986.351000000001</v>
      </c>
      <c r="J90" s="125">
        <v>10986.351000000001</v>
      </c>
      <c r="K90" s="125">
        <v>32592</v>
      </c>
      <c r="L90" s="125">
        <v>27347.21</v>
      </c>
      <c r="M90" s="125">
        <v>27347.204000000002</v>
      </c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>
        <v>204.59</v>
      </c>
      <c r="AE90" s="125">
        <v>204.59</v>
      </c>
      <c r="AF90" s="125"/>
      <c r="AG90" s="125"/>
      <c r="AH90" s="125"/>
      <c r="AI90" s="125"/>
      <c r="AJ90" s="125"/>
      <c r="AK90" s="125"/>
      <c r="AL90" s="125"/>
      <c r="AM90" s="125"/>
      <c r="AN90" s="125"/>
      <c r="AO90" s="125">
        <f t="shared" si="37"/>
        <v>92158</v>
      </c>
      <c r="AP90" s="125">
        <f t="shared" si="37"/>
        <v>92484.398000000001</v>
      </c>
      <c r="AQ90" s="125">
        <f t="shared" si="37"/>
        <v>92167.725999999995</v>
      </c>
      <c r="AR90" s="314">
        <f t="shared" si="28"/>
        <v>0.99657594138202632</v>
      </c>
      <c r="AS90" s="131">
        <v>63738</v>
      </c>
      <c r="AT90" s="131">
        <v>63655.968000000001</v>
      </c>
      <c r="AU90" s="131">
        <v>63655.962</v>
      </c>
      <c r="AV90" s="513">
        <f t="shared" si="32"/>
        <v>0.9999999057433232</v>
      </c>
      <c r="AW90" s="131"/>
      <c r="AX90" s="109"/>
      <c r="AY90" s="109"/>
    </row>
    <row r="91" spans="1:52" s="107" customFormat="1" x14ac:dyDescent="0.25">
      <c r="A91" s="76">
        <v>86</v>
      </c>
      <c r="B91" s="76"/>
      <c r="C91" s="105"/>
      <c r="D91" s="106" t="s">
        <v>344</v>
      </c>
      <c r="E91" s="130">
        <f>SUM(E92:E93)</f>
        <v>11450</v>
      </c>
      <c r="F91" s="130">
        <f>SUM(F92:F93)</f>
        <v>14118.369000000001</v>
      </c>
      <c r="G91" s="130">
        <f>SUM(G92:G93)</f>
        <v>13416.705</v>
      </c>
      <c r="H91" s="130">
        <f t="shared" ref="H91:AU91" si="38">SUM(H92:H93)</f>
        <v>2311</v>
      </c>
      <c r="I91" s="130">
        <f t="shared" si="38"/>
        <v>2497.2179999999998</v>
      </c>
      <c r="J91" s="130">
        <f t="shared" si="38"/>
        <v>2497.2179999999998</v>
      </c>
      <c r="K91" s="130">
        <f t="shared" si="38"/>
        <v>32367</v>
      </c>
      <c r="L91" s="130">
        <f t="shared" si="38"/>
        <v>31149.965</v>
      </c>
      <c r="M91" s="130">
        <f t="shared" si="38"/>
        <v>21170.955000000002</v>
      </c>
      <c r="N91" s="130">
        <f t="shared" si="38"/>
        <v>0</v>
      </c>
      <c r="O91" s="130">
        <f t="shared" si="38"/>
        <v>0</v>
      </c>
      <c r="P91" s="130">
        <f t="shared" si="38"/>
        <v>0</v>
      </c>
      <c r="Q91" s="130">
        <f t="shared" si="38"/>
        <v>0</v>
      </c>
      <c r="R91" s="130">
        <f t="shared" si="38"/>
        <v>0</v>
      </c>
      <c r="S91" s="130">
        <f t="shared" si="38"/>
        <v>0</v>
      </c>
      <c r="T91" s="130">
        <f t="shared" si="38"/>
        <v>0</v>
      </c>
      <c r="U91" s="130">
        <f t="shared" si="38"/>
        <v>0</v>
      </c>
      <c r="V91" s="130">
        <f t="shared" si="38"/>
        <v>0</v>
      </c>
      <c r="W91" s="130">
        <f t="shared" si="38"/>
        <v>0</v>
      </c>
      <c r="X91" s="130">
        <f t="shared" si="38"/>
        <v>0</v>
      </c>
      <c r="Y91" s="130">
        <f t="shared" si="38"/>
        <v>0</v>
      </c>
      <c r="Z91" s="130">
        <f t="shared" si="38"/>
        <v>0</v>
      </c>
      <c r="AA91" s="130">
        <f t="shared" si="38"/>
        <v>0</v>
      </c>
      <c r="AB91" s="130">
        <f t="shared" si="38"/>
        <v>0</v>
      </c>
      <c r="AC91" s="130">
        <f t="shared" si="38"/>
        <v>127</v>
      </c>
      <c r="AD91" s="130">
        <f t="shared" si="38"/>
        <v>202.114</v>
      </c>
      <c r="AE91" s="130">
        <f t="shared" si="38"/>
        <v>202.114</v>
      </c>
      <c r="AF91" s="130">
        <f t="shared" si="38"/>
        <v>0</v>
      </c>
      <c r="AG91" s="130">
        <f t="shared" si="38"/>
        <v>0</v>
      </c>
      <c r="AH91" s="130">
        <f t="shared" si="38"/>
        <v>0</v>
      </c>
      <c r="AI91" s="130">
        <f t="shared" si="38"/>
        <v>0</v>
      </c>
      <c r="AJ91" s="130">
        <f t="shared" si="38"/>
        <v>0</v>
      </c>
      <c r="AK91" s="130">
        <f t="shared" si="38"/>
        <v>0</v>
      </c>
      <c r="AL91" s="130">
        <f t="shared" si="38"/>
        <v>0</v>
      </c>
      <c r="AM91" s="130">
        <f t="shared" si="38"/>
        <v>0</v>
      </c>
      <c r="AN91" s="130">
        <f t="shared" si="38"/>
        <v>0</v>
      </c>
      <c r="AO91" s="130">
        <f t="shared" si="38"/>
        <v>46255</v>
      </c>
      <c r="AP91" s="130">
        <f t="shared" si="38"/>
        <v>47967.665999999997</v>
      </c>
      <c r="AQ91" s="130">
        <f t="shared" ref="AQ91" si="39">SUM(AQ92:AQ93)</f>
        <v>37286.991999999998</v>
      </c>
      <c r="AR91" s="314">
        <f t="shared" si="28"/>
        <v>0.77733596627361445</v>
      </c>
      <c r="AS91" s="130">
        <f t="shared" si="38"/>
        <v>23647.9</v>
      </c>
      <c r="AT91" s="130">
        <f t="shared" si="38"/>
        <v>23090.218000000001</v>
      </c>
      <c r="AU91" s="130">
        <f t="shared" si="38"/>
        <v>23090.218000000001</v>
      </c>
      <c r="AV91" s="513">
        <f t="shared" si="32"/>
        <v>1</v>
      </c>
      <c r="AW91" s="130"/>
      <c r="AX91" s="104"/>
      <c r="AY91" s="104"/>
    </row>
    <row r="92" spans="1:52" x14ac:dyDescent="0.25">
      <c r="A92" s="76">
        <v>87</v>
      </c>
      <c r="B92" s="76"/>
      <c r="C92" s="76" t="s">
        <v>207</v>
      </c>
      <c r="D92" s="108" t="s">
        <v>238</v>
      </c>
      <c r="E92" s="125">
        <v>9919</v>
      </c>
      <c r="F92" s="125">
        <v>10444.851000000001</v>
      </c>
      <c r="G92" s="125">
        <v>10444.851000000001</v>
      </c>
      <c r="H92" s="125">
        <v>1784</v>
      </c>
      <c r="I92" s="125">
        <v>1837.8009999999999</v>
      </c>
      <c r="J92" s="125">
        <v>1837.8009999999999</v>
      </c>
      <c r="K92" s="125">
        <v>4268</v>
      </c>
      <c r="L92" s="125">
        <v>3831.7919999999999</v>
      </c>
      <c r="M92" s="125">
        <v>3831.7919999999999</v>
      </c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>
        <v>127</v>
      </c>
      <c r="AD92" s="125">
        <v>138.614</v>
      </c>
      <c r="AE92" s="125">
        <v>138.614</v>
      </c>
      <c r="AF92" s="125"/>
      <c r="AG92" s="125"/>
      <c r="AH92" s="125"/>
      <c r="AI92" s="125"/>
      <c r="AJ92" s="125"/>
      <c r="AK92" s="125"/>
      <c r="AL92" s="125"/>
      <c r="AM92" s="125"/>
      <c r="AN92" s="125"/>
      <c r="AO92" s="125">
        <f>E92+H92+K92+N92+Q92+T92+W92+Z92+AC92+AF92+AI92+AL92</f>
        <v>16098</v>
      </c>
      <c r="AP92" s="125">
        <f t="shared" ref="AO92:AQ93" si="40">F92+I92+L92+O92+R92+U92+X92+AA92+AD92+AG92+AJ92+AM92</f>
        <v>16253.057999999999</v>
      </c>
      <c r="AQ92" s="125">
        <f t="shared" si="40"/>
        <v>16253.057999999999</v>
      </c>
      <c r="AR92" s="314">
        <f t="shared" si="28"/>
        <v>1</v>
      </c>
      <c r="AS92" s="131">
        <v>12763.9</v>
      </c>
      <c r="AT92" s="131">
        <v>12836.325000000001</v>
      </c>
      <c r="AU92" s="131">
        <v>12836.325000000001</v>
      </c>
      <c r="AV92" s="513">
        <f t="shared" si="32"/>
        <v>1</v>
      </c>
      <c r="AW92" s="131"/>
      <c r="AX92" s="109"/>
      <c r="AY92" s="109"/>
    </row>
    <row r="93" spans="1:52" x14ac:dyDescent="0.25">
      <c r="A93" s="76">
        <v>88</v>
      </c>
      <c r="B93" s="76"/>
      <c r="C93" s="76" t="s">
        <v>213</v>
      </c>
      <c r="D93" s="108" t="s">
        <v>239</v>
      </c>
      <c r="E93" s="125">
        <v>1531</v>
      </c>
      <c r="F93" s="125">
        <v>3673.518</v>
      </c>
      <c r="G93" s="125">
        <v>2971.8539999999998</v>
      </c>
      <c r="H93" s="125">
        <v>527</v>
      </c>
      <c r="I93" s="125">
        <v>659.41700000000003</v>
      </c>
      <c r="J93" s="125">
        <v>659.41700000000003</v>
      </c>
      <c r="K93" s="125">
        <v>28099</v>
      </c>
      <c r="L93" s="125">
        <v>27318.172999999999</v>
      </c>
      <c r="M93" s="125">
        <v>17339.163</v>
      </c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>
        <v>63.5</v>
      </c>
      <c r="AE93" s="125">
        <v>63.5</v>
      </c>
      <c r="AF93" s="125"/>
      <c r="AG93" s="125"/>
      <c r="AH93" s="125"/>
      <c r="AI93" s="125"/>
      <c r="AJ93" s="125"/>
      <c r="AK93" s="125"/>
      <c r="AL93" s="125"/>
      <c r="AM93" s="125"/>
      <c r="AN93" s="125"/>
      <c r="AO93" s="125">
        <f t="shared" si="40"/>
        <v>30157</v>
      </c>
      <c r="AP93" s="125">
        <f t="shared" si="40"/>
        <v>31714.608</v>
      </c>
      <c r="AQ93" s="125">
        <f t="shared" si="40"/>
        <v>21033.934000000001</v>
      </c>
      <c r="AR93" s="314">
        <f t="shared" si="28"/>
        <v>0.66322541334895269</v>
      </c>
      <c r="AS93" s="131">
        <v>10884</v>
      </c>
      <c r="AT93" s="131">
        <v>10253.893</v>
      </c>
      <c r="AU93" s="131">
        <v>10253.893</v>
      </c>
      <c r="AV93" s="513">
        <f t="shared" si="32"/>
        <v>1</v>
      </c>
      <c r="AW93" s="131"/>
      <c r="AX93" s="109"/>
      <c r="AY93" s="109"/>
    </row>
    <row r="94" spans="1:52" s="107" customFormat="1" ht="15.75" x14ac:dyDescent="0.25">
      <c r="A94" s="76">
        <v>89</v>
      </c>
      <c r="B94" s="76"/>
      <c r="C94" s="105"/>
      <c r="D94" s="99" t="s">
        <v>242</v>
      </c>
      <c r="E94" s="130">
        <f t="shared" ref="E94:AQ94" si="41">E71+E82+E85+E88+E91</f>
        <v>351579</v>
      </c>
      <c r="F94" s="130">
        <f t="shared" si="41"/>
        <v>386649.886</v>
      </c>
      <c r="G94" s="482">
        <f t="shared" si="41"/>
        <v>352239.31100000005</v>
      </c>
      <c r="H94" s="130">
        <f t="shared" si="41"/>
        <v>62543.8</v>
      </c>
      <c r="I94" s="130">
        <f t="shared" si="41"/>
        <v>70354.228999999992</v>
      </c>
      <c r="J94" s="482">
        <f t="shared" si="41"/>
        <v>62803.443000000007</v>
      </c>
      <c r="K94" s="130">
        <f t="shared" si="41"/>
        <v>257135.7</v>
      </c>
      <c r="L94" s="130">
        <f t="shared" si="41"/>
        <v>297994.76700000005</v>
      </c>
      <c r="M94" s="130">
        <f t="shared" si="41"/>
        <v>230176.66899999999</v>
      </c>
      <c r="N94" s="130">
        <f t="shared" si="41"/>
        <v>5400</v>
      </c>
      <c r="O94" s="130">
        <f t="shared" si="41"/>
        <v>12403.719999999998</v>
      </c>
      <c r="P94" s="130">
        <f t="shared" si="41"/>
        <v>9987.6949999999997</v>
      </c>
      <c r="Q94" s="130">
        <f t="shared" si="41"/>
        <v>27112.1</v>
      </c>
      <c r="R94" s="130">
        <f t="shared" si="41"/>
        <v>25789.644999999997</v>
      </c>
      <c r="S94" s="130">
        <f t="shared" si="41"/>
        <v>25775.827999999998</v>
      </c>
      <c r="T94" s="130">
        <f t="shared" si="41"/>
        <v>7378</v>
      </c>
      <c r="U94" s="130">
        <f t="shared" si="41"/>
        <v>7379.2</v>
      </c>
      <c r="V94" s="130">
        <f t="shared" si="41"/>
        <v>7064.0219999999999</v>
      </c>
      <c r="W94" s="130">
        <f t="shared" si="41"/>
        <v>0</v>
      </c>
      <c r="X94" s="130">
        <f t="shared" si="41"/>
        <v>0</v>
      </c>
      <c r="Y94" s="130">
        <f t="shared" si="41"/>
        <v>0</v>
      </c>
      <c r="Z94" s="130">
        <f t="shared" si="41"/>
        <v>0</v>
      </c>
      <c r="AA94" s="130">
        <f t="shared" si="41"/>
        <v>0</v>
      </c>
      <c r="AB94" s="130">
        <f t="shared" si="41"/>
        <v>0</v>
      </c>
      <c r="AC94" s="130">
        <f t="shared" si="41"/>
        <v>622689</v>
      </c>
      <c r="AD94" s="130">
        <f t="shared" si="41"/>
        <v>611460.78399999999</v>
      </c>
      <c r="AE94" s="130">
        <f t="shared" si="41"/>
        <v>18743.155000000006</v>
      </c>
      <c r="AF94" s="130">
        <f t="shared" si="41"/>
        <v>22643</v>
      </c>
      <c r="AG94" s="130">
        <f t="shared" si="41"/>
        <v>27856.311999999998</v>
      </c>
      <c r="AH94" s="130">
        <f t="shared" si="41"/>
        <v>25111.499</v>
      </c>
      <c r="AI94" s="130">
        <f t="shared" si="41"/>
        <v>26106.298999999999</v>
      </c>
      <c r="AJ94" s="130">
        <f t="shared" si="41"/>
        <v>76182.574999999997</v>
      </c>
      <c r="AK94" s="130">
        <f t="shared" si="41"/>
        <v>0</v>
      </c>
      <c r="AL94" s="130">
        <f t="shared" si="41"/>
        <v>10927.733</v>
      </c>
      <c r="AM94" s="130">
        <f t="shared" si="41"/>
        <v>10927.733</v>
      </c>
      <c r="AN94" s="130">
        <f t="shared" si="41"/>
        <v>10927.733</v>
      </c>
      <c r="AO94" s="130">
        <f t="shared" si="41"/>
        <v>1393514.6319999998</v>
      </c>
      <c r="AP94" s="130">
        <f t="shared" si="41"/>
        <v>1526998.851</v>
      </c>
      <c r="AQ94" s="130">
        <f t="shared" si="41"/>
        <v>742829.35499999986</v>
      </c>
      <c r="AR94" s="314">
        <f t="shared" si="28"/>
        <v>0.48646359786946547</v>
      </c>
      <c r="AS94" s="130">
        <f>AS71+AS82+AS85+AS88+AS91</f>
        <v>312032.7</v>
      </c>
      <c r="AT94" s="130">
        <f>AT71+AT82+AT85+AT88+AT91</f>
        <v>317479.18799999997</v>
      </c>
      <c r="AU94" s="130">
        <f>AU71+AU82+AU85+AU88+AU91</f>
        <v>317479.18799999997</v>
      </c>
      <c r="AV94" s="513">
        <f t="shared" si="32"/>
        <v>1</v>
      </c>
      <c r="AW94" s="130"/>
      <c r="AX94" s="110"/>
      <c r="AY94" s="110"/>
      <c r="AZ94" s="117"/>
    </row>
    <row r="95" spans="1:52" s="107" customFormat="1" ht="15.75" x14ac:dyDescent="0.25">
      <c r="A95" s="76">
        <v>90</v>
      </c>
      <c r="B95" s="76"/>
      <c r="C95" s="105"/>
      <c r="D95" s="99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314"/>
      <c r="AS95" s="124"/>
      <c r="AT95" s="124"/>
      <c r="AU95" s="124"/>
      <c r="AV95" s="513"/>
      <c r="AW95" s="124"/>
      <c r="AX95" s="104"/>
      <c r="AY95" s="104"/>
      <c r="AZ95" s="117"/>
    </row>
    <row r="96" spans="1:52" x14ac:dyDescent="0.25">
      <c r="A96" s="76">
        <v>91</v>
      </c>
      <c r="B96" s="76"/>
      <c r="C96" s="103"/>
      <c r="D96" s="103" t="s">
        <v>243</v>
      </c>
      <c r="E96" s="128">
        <f>E80+E83+E86+E89+E92</f>
        <v>271777</v>
      </c>
      <c r="F96" s="128">
        <f>F80+F83+F86+F89+F92</f>
        <v>282963.92100000003</v>
      </c>
      <c r="G96" s="128">
        <f>G80+G83+G86+G89+G92</f>
        <v>278479.95600000006</v>
      </c>
      <c r="H96" s="128">
        <f t="shared" ref="H96:AS96" si="42">H80+H83+H86+H89+H92</f>
        <v>45678.8</v>
      </c>
      <c r="I96" s="128">
        <f t="shared" ref="I96:J96" si="43">I80+I83+I86+I89+I92</f>
        <v>48602.786</v>
      </c>
      <c r="J96" s="128">
        <f t="shared" si="43"/>
        <v>48018.175999999999</v>
      </c>
      <c r="K96" s="128">
        <f t="shared" si="42"/>
        <v>128939.7</v>
      </c>
      <c r="L96" s="128">
        <f t="shared" ref="L96:M96" si="44">L80+L83+L86+L89+L92</f>
        <v>125276.39599999999</v>
      </c>
      <c r="M96" s="128">
        <f t="shared" si="44"/>
        <v>114835.18999999999</v>
      </c>
      <c r="N96" s="128">
        <f t="shared" si="42"/>
        <v>2000</v>
      </c>
      <c r="O96" s="128">
        <f t="shared" ref="O96:P96" si="45">O80+O83+O86+O89+O92</f>
        <v>8995.130000000001</v>
      </c>
      <c r="P96" s="128">
        <f t="shared" si="45"/>
        <v>8522.52</v>
      </c>
      <c r="Q96" s="128">
        <f t="shared" si="42"/>
        <v>22862.1</v>
      </c>
      <c r="R96" s="128">
        <f t="shared" ref="R96:S96" si="46">R80+R83+R86+R89+R92</f>
        <v>21219.644999999997</v>
      </c>
      <c r="S96" s="128">
        <f t="shared" si="46"/>
        <v>21205.827999999998</v>
      </c>
      <c r="T96" s="128">
        <f t="shared" si="42"/>
        <v>5903</v>
      </c>
      <c r="U96" s="128">
        <f t="shared" ref="U96:V96" si="47">U80+U83+U86+U89+U92</f>
        <v>5903</v>
      </c>
      <c r="V96" s="128">
        <f t="shared" si="47"/>
        <v>5607.9030000000002</v>
      </c>
      <c r="W96" s="128">
        <f t="shared" si="42"/>
        <v>0</v>
      </c>
      <c r="X96" s="128">
        <f t="shared" ref="X96:Y96" si="48">X80+X83+X86+X89+X92</f>
        <v>0</v>
      </c>
      <c r="Y96" s="128">
        <f t="shared" si="48"/>
        <v>0</v>
      </c>
      <c r="Z96" s="128">
        <f t="shared" si="42"/>
        <v>0</v>
      </c>
      <c r="AA96" s="128">
        <f t="shared" ref="AA96:AB96" si="49">AA80+AA83+AA86+AA89+AA92</f>
        <v>0</v>
      </c>
      <c r="AB96" s="128">
        <f t="shared" si="49"/>
        <v>0</v>
      </c>
      <c r="AC96" s="128">
        <f t="shared" si="42"/>
        <v>15767</v>
      </c>
      <c r="AD96" s="128">
        <f t="shared" ref="AD96:AE96" si="50">AD80+AD83+AD86+AD89+AD92</f>
        <v>16016.328</v>
      </c>
      <c r="AE96" s="128">
        <f t="shared" si="50"/>
        <v>15725.065000000001</v>
      </c>
      <c r="AF96" s="128">
        <f t="shared" si="42"/>
        <v>22643</v>
      </c>
      <c r="AG96" s="128">
        <f t="shared" ref="AG96:AH96" si="51">AG80+AG83+AG86+AG89+AG92</f>
        <v>27856.311999999998</v>
      </c>
      <c r="AH96" s="128">
        <f t="shared" si="51"/>
        <v>25111.499</v>
      </c>
      <c r="AI96" s="128">
        <f t="shared" si="42"/>
        <v>0</v>
      </c>
      <c r="AJ96" s="128">
        <f t="shared" ref="AJ96:AK96" si="52">AJ80+AJ83+AJ86+AJ89+AJ92</f>
        <v>0</v>
      </c>
      <c r="AK96" s="128">
        <f t="shared" si="52"/>
        <v>0</v>
      </c>
      <c r="AL96" s="128">
        <f t="shared" si="42"/>
        <v>10927.733</v>
      </c>
      <c r="AM96" s="128">
        <f t="shared" ref="AM96:AN96" si="53">AM80+AM83+AM86+AM89+AM92</f>
        <v>10927.733</v>
      </c>
      <c r="AN96" s="128">
        <f t="shared" si="53"/>
        <v>10927.733</v>
      </c>
      <c r="AO96" s="128">
        <f>AO80+AO83+AO86+AO89+AO92</f>
        <v>526498.33299999998</v>
      </c>
      <c r="AP96" s="128">
        <f>AP80+AP83+AP86+AP89+AP92</f>
        <v>547761.25099999993</v>
      </c>
      <c r="AQ96" s="128">
        <f>AQ80+AQ83+AQ86+AQ89+AQ92</f>
        <v>528433.87</v>
      </c>
      <c r="AR96" s="314">
        <f t="shared" si="28"/>
        <v>0.96471568413297648</v>
      </c>
      <c r="AS96" s="128">
        <f t="shared" si="42"/>
        <v>230070.69999999998</v>
      </c>
      <c r="AT96" s="128">
        <f t="shared" ref="AT96:AU96" si="54">AT80+AT83+AT86+AT89+AT92</f>
        <v>236224.666</v>
      </c>
      <c r="AU96" s="128">
        <f t="shared" si="54"/>
        <v>236224.67200000002</v>
      </c>
      <c r="AV96" s="513">
        <f t="shared" si="32"/>
        <v>1.0000000253995491</v>
      </c>
      <c r="AW96" s="128"/>
      <c r="AX96" s="111"/>
      <c r="AY96" s="111"/>
      <c r="AZ96" s="111"/>
    </row>
    <row r="97" spans="1:52" x14ac:dyDescent="0.25">
      <c r="A97" s="76">
        <v>92</v>
      </c>
      <c r="B97" s="76"/>
      <c r="C97" s="103"/>
      <c r="D97" s="103" t="s">
        <v>305</v>
      </c>
      <c r="E97" s="128">
        <f>E84</f>
        <v>6000</v>
      </c>
      <c r="F97" s="128">
        <f>F84</f>
        <v>6000</v>
      </c>
      <c r="G97" s="128">
        <f>G84</f>
        <v>6000</v>
      </c>
      <c r="H97" s="128">
        <f t="shared" ref="H97:AL97" si="55">H84</f>
        <v>1170</v>
      </c>
      <c r="I97" s="128">
        <f t="shared" ref="I97:J97" si="56">I84</f>
        <v>1170</v>
      </c>
      <c r="J97" s="128">
        <f t="shared" si="56"/>
        <v>1170</v>
      </c>
      <c r="K97" s="128">
        <f t="shared" si="55"/>
        <v>0</v>
      </c>
      <c r="L97" s="128">
        <f t="shared" ref="L97:M97" si="57">L84</f>
        <v>0</v>
      </c>
      <c r="M97" s="128">
        <f t="shared" si="57"/>
        <v>0</v>
      </c>
      <c r="N97" s="128">
        <f t="shared" si="55"/>
        <v>0</v>
      </c>
      <c r="O97" s="128">
        <f t="shared" ref="O97:P97" si="58">O84</f>
        <v>0</v>
      </c>
      <c r="P97" s="128">
        <f t="shared" si="58"/>
        <v>0</v>
      </c>
      <c r="Q97" s="128">
        <f t="shared" si="55"/>
        <v>0</v>
      </c>
      <c r="R97" s="128">
        <f t="shared" ref="R97:S97" si="59">R84</f>
        <v>0</v>
      </c>
      <c r="S97" s="128">
        <f t="shared" si="59"/>
        <v>0</v>
      </c>
      <c r="T97" s="128">
        <f t="shared" si="55"/>
        <v>0</v>
      </c>
      <c r="U97" s="128">
        <f t="shared" ref="U97:V97" si="60">U84</f>
        <v>0</v>
      </c>
      <c r="V97" s="128">
        <f t="shared" si="60"/>
        <v>0</v>
      </c>
      <c r="W97" s="128">
        <f t="shared" si="55"/>
        <v>0</v>
      </c>
      <c r="X97" s="128">
        <f t="shared" ref="X97:Y97" si="61">X84</f>
        <v>0</v>
      </c>
      <c r="Y97" s="128">
        <f t="shared" si="61"/>
        <v>0</v>
      </c>
      <c r="Z97" s="128">
        <f t="shared" si="55"/>
        <v>0</v>
      </c>
      <c r="AA97" s="128">
        <f t="shared" ref="AA97:AB97" si="62">AA84</f>
        <v>0</v>
      </c>
      <c r="AB97" s="128">
        <f t="shared" si="62"/>
        <v>0</v>
      </c>
      <c r="AC97" s="128">
        <f t="shared" si="55"/>
        <v>0</v>
      </c>
      <c r="AD97" s="128">
        <f t="shared" ref="AD97:AE97" si="63">AD84</f>
        <v>0</v>
      </c>
      <c r="AE97" s="128">
        <f t="shared" si="63"/>
        <v>0</v>
      </c>
      <c r="AF97" s="128">
        <f t="shared" si="55"/>
        <v>0</v>
      </c>
      <c r="AG97" s="128">
        <f t="shared" ref="AG97:AH97" si="64">AG84</f>
        <v>0</v>
      </c>
      <c r="AH97" s="128">
        <f t="shared" si="64"/>
        <v>0</v>
      </c>
      <c r="AI97" s="128">
        <f t="shared" si="55"/>
        <v>0</v>
      </c>
      <c r="AJ97" s="128">
        <f t="shared" ref="AJ97:AK97" si="65">AJ84</f>
        <v>0</v>
      </c>
      <c r="AK97" s="128">
        <f t="shared" si="65"/>
        <v>0</v>
      </c>
      <c r="AL97" s="128">
        <f t="shared" si="55"/>
        <v>0</v>
      </c>
      <c r="AM97" s="128">
        <f t="shared" ref="AM97:AN97" si="66">AM84</f>
        <v>0</v>
      </c>
      <c r="AN97" s="128">
        <f t="shared" si="66"/>
        <v>0</v>
      </c>
      <c r="AO97" s="128">
        <f>AO84</f>
        <v>7170</v>
      </c>
      <c r="AP97" s="128">
        <f>AP84</f>
        <v>7170</v>
      </c>
      <c r="AQ97" s="128">
        <f>AQ84</f>
        <v>7170</v>
      </c>
      <c r="AR97" s="314">
        <f t="shared" si="28"/>
        <v>1</v>
      </c>
      <c r="AS97" s="128">
        <f>AS84</f>
        <v>7170</v>
      </c>
      <c r="AT97" s="128">
        <f>AT84</f>
        <v>7170</v>
      </c>
      <c r="AU97" s="128">
        <f>AU84</f>
        <v>7170</v>
      </c>
      <c r="AV97" s="513">
        <f t="shared" si="32"/>
        <v>1</v>
      </c>
      <c r="AW97" s="132"/>
      <c r="AX97" s="111"/>
      <c r="AY97" s="111"/>
      <c r="AZ97" s="111"/>
    </row>
    <row r="98" spans="1:52" x14ac:dyDescent="0.25">
      <c r="A98" s="76">
        <v>93</v>
      </c>
      <c r="B98" s="76"/>
      <c r="C98" s="103"/>
      <c r="D98" s="103" t="s">
        <v>244</v>
      </c>
      <c r="E98" s="128">
        <f>E81+E87+E90+E93</f>
        <v>73802</v>
      </c>
      <c r="F98" s="128">
        <f>F81+F87+F90+F93</f>
        <v>97685.964999999997</v>
      </c>
      <c r="G98" s="128">
        <f>G81+G87+G90+G93</f>
        <v>67759.354999999996</v>
      </c>
      <c r="H98" s="128">
        <f t="shared" ref="H98:AS98" si="67">H81+H87+H90+H93</f>
        <v>15695</v>
      </c>
      <c r="I98" s="128">
        <f t="shared" ref="I98:J98" si="68">I81+I87+I90+I93</f>
        <v>20581.442999999999</v>
      </c>
      <c r="J98" s="128">
        <f t="shared" si="68"/>
        <v>13615.267</v>
      </c>
      <c r="K98" s="128">
        <f t="shared" si="67"/>
        <v>128196</v>
      </c>
      <c r="L98" s="128">
        <f t="shared" ref="L98:M98" si="69">L81+L87+L90+L93</f>
        <v>172718.37100000001</v>
      </c>
      <c r="M98" s="128">
        <f t="shared" si="69"/>
        <v>115341.47899999999</v>
      </c>
      <c r="N98" s="128">
        <f t="shared" si="67"/>
        <v>3400</v>
      </c>
      <c r="O98" s="128">
        <f t="shared" ref="O98:P98" si="70">O81+O87+O90+O93</f>
        <v>3408.5899999999997</v>
      </c>
      <c r="P98" s="128">
        <f t="shared" si="70"/>
        <v>1465.175</v>
      </c>
      <c r="Q98" s="128">
        <f t="shared" si="67"/>
        <v>4250</v>
      </c>
      <c r="R98" s="128">
        <f t="shared" ref="R98:S98" si="71">R81+R87+R90+R93</f>
        <v>4570</v>
      </c>
      <c r="S98" s="128">
        <f t="shared" si="71"/>
        <v>4570</v>
      </c>
      <c r="T98" s="128">
        <f t="shared" si="67"/>
        <v>1475</v>
      </c>
      <c r="U98" s="128">
        <f t="shared" ref="U98:V98" si="72">U81+U87+U90+U93</f>
        <v>1476.2</v>
      </c>
      <c r="V98" s="128">
        <f t="shared" si="72"/>
        <v>1456.1190000000001</v>
      </c>
      <c r="W98" s="128">
        <f t="shared" si="67"/>
        <v>0</v>
      </c>
      <c r="X98" s="128">
        <f t="shared" ref="X98:Y98" si="73">X81+X87+X90+X93</f>
        <v>0</v>
      </c>
      <c r="Y98" s="128">
        <f t="shared" si="73"/>
        <v>0</v>
      </c>
      <c r="Z98" s="128">
        <f t="shared" si="67"/>
        <v>0</v>
      </c>
      <c r="AA98" s="128">
        <f t="shared" ref="AA98:AB98" si="74">AA81+AA87+AA90+AA93</f>
        <v>0</v>
      </c>
      <c r="AB98" s="128">
        <f t="shared" si="74"/>
        <v>0</v>
      </c>
      <c r="AC98" s="128">
        <f t="shared" si="67"/>
        <v>606922</v>
      </c>
      <c r="AD98" s="128">
        <f t="shared" ref="AD98:AE98" si="75">AD81+AD87+AD90+AD93</f>
        <v>595444.45599999989</v>
      </c>
      <c r="AE98" s="128">
        <f t="shared" si="75"/>
        <v>3018.09</v>
      </c>
      <c r="AF98" s="128">
        <f t="shared" si="67"/>
        <v>0</v>
      </c>
      <c r="AG98" s="128">
        <f t="shared" ref="AG98:AH98" si="76">AG81+AG87+AG90+AG93</f>
        <v>0</v>
      </c>
      <c r="AH98" s="128">
        <f t="shared" si="76"/>
        <v>0</v>
      </c>
      <c r="AI98" s="128">
        <f t="shared" si="67"/>
        <v>26106.298999999999</v>
      </c>
      <c r="AJ98" s="128">
        <f t="shared" ref="AJ98:AK98" si="77">AJ81+AJ87+AJ90+AJ93</f>
        <v>76182.574999999997</v>
      </c>
      <c r="AK98" s="128">
        <f t="shared" si="77"/>
        <v>0</v>
      </c>
      <c r="AL98" s="128">
        <f t="shared" si="67"/>
        <v>0</v>
      </c>
      <c r="AM98" s="128">
        <f t="shared" ref="AM98:AN98" si="78">AM81+AM87+AM90+AM93</f>
        <v>0</v>
      </c>
      <c r="AN98" s="128">
        <f t="shared" si="78"/>
        <v>0</v>
      </c>
      <c r="AO98" s="128">
        <f>AO81+AO87+AO90+AO93</f>
        <v>859846.299</v>
      </c>
      <c r="AP98" s="128">
        <f>AP81+AP87+AP90+AP93</f>
        <v>972067.6</v>
      </c>
      <c r="AQ98" s="128">
        <f>AQ81+AQ87+AQ90+AQ93</f>
        <v>207225.48500000002</v>
      </c>
      <c r="AR98" s="314">
        <f t="shared" si="28"/>
        <v>0.21318011730871395</v>
      </c>
      <c r="AS98" s="128">
        <f t="shared" si="67"/>
        <v>74792</v>
      </c>
      <c r="AT98" s="128">
        <f t="shared" ref="AT98:AU98" si="79">AT81+AT87+AT90+AT93</f>
        <v>74084.521999999997</v>
      </c>
      <c r="AU98" s="128">
        <f t="shared" si="79"/>
        <v>74084.516000000003</v>
      </c>
      <c r="AV98" s="513">
        <f t="shared" si="32"/>
        <v>0.99999991901142327</v>
      </c>
      <c r="AW98" s="132"/>
      <c r="AX98" s="111"/>
      <c r="AY98" s="111"/>
      <c r="AZ98" s="111"/>
    </row>
    <row r="99" spans="1:52" s="107" customFormat="1" x14ac:dyDescent="0.25">
      <c r="A99" s="76">
        <v>94</v>
      </c>
      <c r="B99" s="76"/>
      <c r="C99" s="112"/>
      <c r="D99" s="112" t="s">
        <v>245</v>
      </c>
      <c r="E99" s="132">
        <f>SUM(E96:E98)</f>
        <v>351579</v>
      </c>
      <c r="F99" s="132">
        <f>SUM(F96:F98)</f>
        <v>386649.88600000006</v>
      </c>
      <c r="G99" s="487">
        <f>SUM(G96:G98)</f>
        <v>352239.31100000005</v>
      </c>
      <c r="H99" s="132">
        <f t="shared" ref="H99:AS99" si="80">SUM(H96:H98)</f>
        <v>62543.8</v>
      </c>
      <c r="I99" s="132">
        <f t="shared" ref="I99:J99" si="81">SUM(I96:I98)</f>
        <v>70354.228999999992</v>
      </c>
      <c r="J99" s="487">
        <f t="shared" si="81"/>
        <v>62803.442999999999</v>
      </c>
      <c r="K99" s="132">
        <f t="shared" si="80"/>
        <v>257135.7</v>
      </c>
      <c r="L99" s="132">
        <f t="shared" ref="L99:M99" si="82">SUM(L96:L98)</f>
        <v>297994.76699999999</v>
      </c>
      <c r="M99" s="487">
        <f t="shared" si="82"/>
        <v>230176.66899999999</v>
      </c>
      <c r="N99" s="132">
        <f t="shared" si="80"/>
        <v>5400</v>
      </c>
      <c r="O99" s="132">
        <f t="shared" ref="O99:P99" si="83">SUM(O96:O98)</f>
        <v>12403.720000000001</v>
      </c>
      <c r="P99" s="487">
        <f t="shared" si="83"/>
        <v>9987.6949999999997</v>
      </c>
      <c r="Q99" s="132">
        <f t="shared" si="80"/>
        <v>27112.1</v>
      </c>
      <c r="R99" s="132">
        <f t="shared" ref="R99:S99" si="84">SUM(R96:R98)</f>
        <v>25789.644999999997</v>
      </c>
      <c r="S99" s="487">
        <f t="shared" si="84"/>
        <v>25775.827999999998</v>
      </c>
      <c r="T99" s="132">
        <f t="shared" si="80"/>
        <v>7378</v>
      </c>
      <c r="U99" s="132">
        <f t="shared" ref="U99:V99" si="85">SUM(U96:U98)</f>
        <v>7379.2</v>
      </c>
      <c r="V99" s="487">
        <f t="shared" si="85"/>
        <v>7064.0220000000008</v>
      </c>
      <c r="W99" s="132">
        <f t="shared" si="80"/>
        <v>0</v>
      </c>
      <c r="X99" s="132">
        <f t="shared" ref="X99:Y99" si="86">SUM(X96:X98)</f>
        <v>0</v>
      </c>
      <c r="Y99" s="132">
        <f t="shared" si="86"/>
        <v>0</v>
      </c>
      <c r="Z99" s="132">
        <f t="shared" si="80"/>
        <v>0</v>
      </c>
      <c r="AA99" s="132">
        <f t="shared" ref="AA99:AB99" si="87">SUM(AA96:AA98)</f>
        <v>0</v>
      </c>
      <c r="AB99" s="132">
        <f t="shared" si="87"/>
        <v>0</v>
      </c>
      <c r="AC99" s="132">
        <f t="shared" si="80"/>
        <v>622689</v>
      </c>
      <c r="AD99" s="132">
        <f t="shared" ref="AD99:AE99" si="88">SUM(AD96:AD98)</f>
        <v>611460.78399999987</v>
      </c>
      <c r="AE99" s="487">
        <f t="shared" si="88"/>
        <v>18743.154999999999</v>
      </c>
      <c r="AF99" s="132">
        <f t="shared" si="80"/>
        <v>22643</v>
      </c>
      <c r="AG99" s="132">
        <f t="shared" ref="AG99:AH99" si="89">SUM(AG96:AG98)</f>
        <v>27856.311999999998</v>
      </c>
      <c r="AH99" s="487">
        <f t="shared" si="89"/>
        <v>25111.499</v>
      </c>
      <c r="AI99" s="132">
        <f t="shared" si="80"/>
        <v>26106.298999999999</v>
      </c>
      <c r="AJ99" s="132">
        <f t="shared" ref="AJ99:AK99" si="90">SUM(AJ96:AJ98)</f>
        <v>76182.574999999997</v>
      </c>
      <c r="AK99" s="132">
        <f t="shared" si="90"/>
        <v>0</v>
      </c>
      <c r="AL99" s="132">
        <f t="shared" si="80"/>
        <v>10927.733</v>
      </c>
      <c r="AM99" s="132">
        <f t="shared" ref="AM99:AN99" si="91">SUM(AM96:AM98)</f>
        <v>10927.733</v>
      </c>
      <c r="AN99" s="487">
        <f t="shared" si="91"/>
        <v>10927.733</v>
      </c>
      <c r="AO99" s="132">
        <f>SUM(AO96:AO98)</f>
        <v>1393514.632</v>
      </c>
      <c r="AP99" s="132">
        <f>SUM(AP96:AP98)</f>
        <v>1526998.8509999998</v>
      </c>
      <c r="AQ99" s="487">
        <f>SUM(AQ96:AQ98)</f>
        <v>742829.35499999998</v>
      </c>
      <c r="AR99" s="314">
        <f t="shared" si="28"/>
        <v>0.48646359786946564</v>
      </c>
      <c r="AS99" s="132">
        <f t="shared" si="80"/>
        <v>312032.69999999995</v>
      </c>
      <c r="AT99" s="132">
        <f t="shared" ref="AT99:AU99" si="92">SUM(AT96:AT98)</f>
        <v>317479.18799999997</v>
      </c>
      <c r="AU99" s="487">
        <f t="shared" si="92"/>
        <v>317479.18800000002</v>
      </c>
      <c r="AV99" s="513">
        <f t="shared" si="32"/>
        <v>1.0000000000000002</v>
      </c>
      <c r="AW99" s="132"/>
      <c r="AX99" s="111"/>
      <c r="AY99" s="111"/>
      <c r="AZ99" s="117"/>
    </row>
    <row r="100" spans="1:52" x14ac:dyDescent="0.25">
      <c r="AS100" s="189">
        <f>AO71+AS99</f>
        <v>1336860.3319999999</v>
      </c>
      <c r="AT100" s="189">
        <f>AP71+AT99</f>
        <v>1466501.9839999997</v>
      </c>
      <c r="AU100" s="319">
        <f>AQ71+AU99</f>
        <v>693962.32499999995</v>
      </c>
      <c r="AW100" s="113"/>
      <c r="AX100" s="113"/>
      <c r="AY100" s="113"/>
    </row>
    <row r="101" spans="1:52" x14ac:dyDescent="0.25">
      <c r="AW101" s="113"/>
      <c r="AX101" s="113"/>
      <c r="AY101" s="79">
        <v>13142</v>
      </c>
    </row>
    <row r="102" spans="1:52" x14ac:dyDescent="0.25">
      <c r="AW102" s="113"/>
      <c r="AX102" s="113"/>
      <c r="AY102" s="113"/>
    </row>
    <row r="105" spans="1:52" x14ac:dyDescent="0.25">
      <c r="AC105" s="107"/>
      <c r="AD105" s="107"/>
      <c r="AE105" s="107"/>
    </row>
  </sheetData>
  <autoFilter ref="A4:AZ4"/>
  <mergeCells count="16">
    <mergeCell ref="AS3:AV3"/>
    <mergeCell ref="D2:AW2"/>
    <mergeCell ref="AI1:AS1"/>
    <mergeCell ref="E3:G3"/>
    <mergeCell ref="H3:J3"/>
    <mergeCell ref="K3:M3"/>
    <mergeCell ref="N3:P3"/>
    <mergeCell ref="Q3:S3"/>
    <mergeCell ref="AI3:AK3"/>
    <mergeCell ref="AL3:AN3"/>
    <mergeCell ref="AO3:AR3"/>
    <mergeCell ref="T3:V3"/>
    <mergeCell ref="W3:Y3"/>
    <mergeCell ref="Z3:AB3"/>
    <mergeCell ref="AC3:AE3"/>
    <mergeCell ref="AF3:AH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7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2"/>
  <sheetViews>
    <sheetView view="pageBreakPreview" topLeftCell="K1" zoomScaleNormal="100" zoomScaleSheetLayoutView="100" workbookViewId="0">
      <selection activeCell="C2" sqref="C2:AJ2"/>
    </sheetView>
  </sheetViews>
  <sheetFormatPr defaultRowHeight="15" x14ac:dyDescent="0.25"/>
  <cols>
    <col min="1" max="1" width="6.28515625" style="72" customWidth="1"/>
    <col min="2" max="2" width="10.7109375" style="257" customWidth="1"/>
    <col min="3" max="3" width="40.7109375" style="72" customWidth="1"/>
    <col min="4" max="15" width="12.28515625" style="72" customWidth="1"/>
    <col min="16" max="18" width="10.85546875" style="72" customWidth="1"/>
    <col min="19" max="21" width="13.140625" style="72" customWidth="1"/>
    <col min="22" max="24" width="11.28515625" style="72" customWidth="1"/>
    <col min="25" max="27" width="10.140625" style="72" customWidth="1"/>
    <col min="28" max="30" width="10.85546875" style="72" customWidth="1"/>
    <col min="31" max="31" width="11.28515625" style="72" bestFit="1" customWidth="1"/>
    <col min="32" max="32" width="10.140625" style="72" hidden="1" customWidth="1"/>
    <col min="33" max="33" width="10.85546875" style="72" hidden="1" customWidth="1"/>
    <col min="34" max="35" width="12.42578125" style="72" bestFit="1" customWidth="1"/>
    <col min="36" max="16384" width="9.140625" style="72"/>
  </cols>
  <sheetData>
    <row r="1" spans="1:36" x14ac:dyDescent="0.25">
      <c r="S1" s="866" t="s">
        <v>1026</v>
      </c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</row>
    <row r="2" spans="1:36" ht="61.5" customHeight="1" x14ac:dyDescent="0.25">
      <c r="A2" s="71">
        <v>1</v>
      </c>
      <c r="B2" s="71"/>
      <c r="C2" s="867" t="s">
        <v>552</v>
      </c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</row>
    <row r="3" spans="1:36" ht="57.75" customHeight="1" x14ac:dyDescent="0.25">
      <c r="A3" s="71">
        <v>2</v>
      </c>
      <c r="B3" s="73" t="s">
        <v>293</v>
      </c>
      <c r="C3" s="233" t="s">
        <v>199</v>
      </c>
      <c r="D3" s="868" t="s">
        <v>91</v>
      </c>
      <c r="E3" s="869"/>
      <c r="F3" s="870"/>
      <c r="G3" s="868" t="s">
        <v>270</v>
      </c>
      <c r="H3" s="869"/>
      <c r="I3" s="870"/>
      <c r="J3" s="868" t="s">
        <v>93</v>
      </c>
      <c r="K3" s="869"/>
      <c r="L3" s="870"/>
      <c r="M3" s="868" t="s">
        <v>271</v>
      </c>
      <c r="N3" s="869"/>
      <c r="O3" s="870"/>
      <c r="P3" s="868" t="s">
        <v>95</v>
      </c>
      <c r="Q3" s="869"/>
      <c r="R3" s="870"/>
      <c r="S3" s="868" t="s">
        <v>109</v>
      </c>
      <c r="T3" s="869"/>
      <c r="U3" s="870"/>
      <c r="V3" s="868" t="s">
        <v>112</v>
      </c>
      <c r="W3" s="869"/>
      <c r="X3" s="870"/>
      <c r="Y3" s="868" t="s">
        <v>274</v>
      </c>
      <c r="Z3" s="869"/>
      <c r="AA3" s="870"/>
      <c r="AB3" s="868" t="s">
        <v>275</v>
      </c>
      <c r="AC3" s="869"/>
      <c r="AD3" s="870"/>
      <c r="AE3" s="868" t="s">
        <v>242</v>
      </c>
      <c r="AF3" s="869"/>
      <c r="AG3" s="869"/>
      <c r="AH3" s="869"/>
      <c r="AI3" s="869"/>
      <c r="AJ3" s="870"/>
    </row>
    <row r="4" spans="1:36" ht="30" x14ac:dyDescent="0.25">
      <c r="A4" s="71">
        <v>3</v>
      </c>
      <c r="B4" s="258"/>
      <c r="C4" s="203" t="s">
        <v>250</v>
      </c>
      <c r="D4" s="75" t="s">
        <v>402</v>
      </c>
      <c r="E4" s="102" t="s">
        <v>399</v>
      </c>
      <c r="F4" s="102" t="s">
        <v>407</v>
      </c>
      <c r="G4" s="75" t="s">
        <v>402</v>
      </c>
      <c r="H4" s="102" t="s">
        <v>399</v>
      </c>
      <c r="I4" s="102" t="s">
        <v>407</v>
      </c>
      <c r="J4" s="75" t="s">
        <v>402</v>
      </c>
      <c r="K4" s="102" t="s">
        <v>399</v>
      </c>
      <c r="L4" s="102" t="s">
        <v>407</v>
      </c>
      <c r="M4" s="75" t="s">
        <v>402</v>
      </c>
      <c r="N4" s="102" t="s">
        <v>399</v>
      </c>
      <c r="O4" s="102" t="s">
        <v>407</v>
      </c>
      <c r="P4" s="75" t="s">
        <v>402</v>
      </c>
      <c r="Q4" s="102" t="s">
        <v>399</v>
      </c>
      <c r="R4" s="102" t="s">
        <v>407</v>
      </c>
      <c r="S4" s="75" t="s">
        <v>402</v>
      </c>
      <c r="T4" s="102" t="s">
        <v>399</v>
      </c>
      <c r="U4" s="102" t="s">
        <v>407</v>
      </c>
      <c r="V4" s="75" t="s">
        <v>402</v>
      </c>
      <c r="W4" s="102" t="s">
        <v>399</v>
      </c>
      <c r="X4" s="102" t="s">
        <v>407</v>
      </c>
      <c r="Y4" s="75" t="s">
        <v>402</v>
      </c>
      <c r="Z4" s="102" t="s">
        <v>399</v>
      </c>
      <c r="AA4" s="102" t="s">
        <v>407</v>
      </c>
      <c r="AB4" s="75" t="s">
        <v>402</v>
      </c>
      <c r="AC4" s="102" t="s">
        <v>399</v>
      </c>
      <c r="AD4" s="102" t="s">
        <v>407</v>
      </c>
      <c r="AE4" s="75" t="s">
        <v>402</v>
      </c>
      <c r="AF4" s="102" t="s">
        <v>399</v>
      </c>
      <c r="AG4" s="75" t="s">
        <v>402</v>
      </c>
      <c r="AH4" s="102" t="s">
        <v>399</v>
      </c>
      <c r="AI4" s="102" t="s">
        <v>407</v>
      </c>
      <c r="AJ4" s="102" t="s">
        <v>408</v>
      </c>
    </row>
    <row r="5" spans="1:36" x14ac:dyDescent="0.25">
      <c r="A5" s="71">
        <v>4</v>
      </c>
      <c r="B5" s="71" t="s">
        <v>311</v>
      </c>
      <c r="C5" s="85" t="s">
        <v>305</v>
      </c>
      <c r="D5" s="133">
        <v>6000</v>
      </c>
      <c r="E5" s="133">
        <v>6000</v>
      </c>
      <c r="F5" s="133">
        <v>6000</v>
      </c>
      <c r="G5" s="133">
        <v>1170</v>
      </c>
      <c r="H5" s="133">
        <v>1170</v>
      </c>
      <c r="I5" s="133">
        <v>1170</v>
      </c>
      <c r="J5" s="133"/>
      <c r="K5" s="133"/>
      <c r="L5" s="133"/>
      <c r="M5" s="259"/>
      <c r="N5" s="259"/>
      <c r="O5" s="259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59"/>
      <c r="AC5" s="259"/>
      <c r="AD5" s="259"/>
      <c r="AE5" s="135">
        <f>D5+G5+J5+M5+P5+S5+V5+Y5+AB5</f>
        <v>7170</v>
      </c>
      <c r="AF5" s="135">
        <f>E5+H5+K5+N5+Q5+T5+W5+Z5+AC5</f>
        <v>7170</v>
      </c>
      <c r="AG5" s="135">
        <f t="shared" ref="AG5:AG7" si="0">G5+J5+M5+P5+S5+V5+Y5+AB5+AE5</f>
        <v>8340</v>
      </c>
      <c r="AH5" s="135">
        <f t="shared" ref="AH5:AI7" si="1">E5+H5+K5+N5+Q5+T5+W5+Z5+AC5</f>
        <v>7170</v>
      </c>
      <c r="AI5" s="135">
        <f t="shared" si="1"/>
        <v>7170</v>
      </c>
      <c r="AJ5" s="263">
        <f>AI5/AH5</f>
        <v>1</v>
      </c>
    </row>
    <row r="6" spans="1:36" x14ac:dyDescent="0.25">
      <c r="A6" s="71"/>
      <c r="B6" s="71" t="s">
        <v>207</v>
      </c>
      <c r="C6" s="85" t="s">
        <v>430</v>
      </c>
      <c r="D6" s="133"/>
      <c r="E6" s="133">
        <v>913.47199999999998</v>
      </c>
      <c r="F6" s="133">
        <v>913.47199999999998</v>
      </c>
      <c r="G6" s="133"/>
      <c r="H6" s="133">
        <v>189.28899999999999</v>
      </c>
      <c r="I6" s="133">
        <v>189.28899999999999</v>
      </c>
      <c r="J6" s="133"/>
      <c r="K6" s="133">
        <v>122.58499999999999</v>
      </c>
      <c r="L6" s="133">
        <v>122.58499999999999</v>
      </c>
      <c r="M6" s="259"/>
      <c r="N6" s="259"/>
      <c r="O6" s="259"/>
      <c r="P6" s="260"/>
      <c r="Q6" s="260"/>
      <c r="R6" s="260"/>
      <c r="S6" s="260"/>
      <c r="T6" s="260">
        <v>22.099</v>
      </c>
      <c r="U6" s="260">
        <v>22.099</v>
      </c>
      <c r="V6" s="260"/>
      <c r="W6" s="260"/>
      <c r="X6" s="260"/>
      <c r="Y6" s="260"/>
      <c r="Z6" s="260"/>
      <c r="AA6" s="260"/>
      <c r="AB6" s="259"/>
      <c r="AC6" s="259"/>
      <c r="AD6" s="259"/>
      <c r="AE6" s="135"/>
      <c r="AF6" s="135"/>
      <c r="AG6" s="135"/>
      <c r="AH6" s="135">
        <f t="shared" si="1"/>
        <v>1247.4449999999999</v>
      </c>
      <c r="AI6" s="135">
        <f t="shared" si="1"/>
        <v>1247.4449999999999</v>
      </c>
      <c r="AJ6" s="263">
        <f>AI6/AH6</f>
        <v>1</v>
      </c>
    </row>
    <row r="7" spans="1:36" x14ac:dyDescent="0.25">
      <c r="A7" s="71">
        <v>5</v>
      </c>
      <c r="B7" s="71" t="s">
        <v>207</v>
      </c>
      <c r="C7" s="85" t="s">
        <v>252</v>
      </c>
      <c r="D7" s="133">
        <v>52457</v>
      </c>
      <c r="E7" s="133">
        <v>54267.137000000002</v>
      </c>
      <c r="F7" s="133">
        <v>53634.64</v>
      </c>
      <c r="G7" s="133">
        <v>10460</v>
      </c>
      <c r="H7" s="133">
        <v>10699.552</v>
      </c>
      <c r="I7" s="133">
        <v>10699.552</v>
      </c>
      <c r="J7" s="133">
        <v>10495</v>
      </c>
      <c r="K7" s="133">
        <v>9453.5640000000003</v>
      </c>
      <c r="L7" s="133">
        <v>9453.5640000000003</v>
      </c>
      <c r="M7" s="259"/>
      <c r="N7" s="259"/>
      <c r="O7" s="259"/>
      <c r="P7" s="260"/>
      <c r="Q7" s="260"/>
      <c r="R7" s="260"/>
      <c r="S7" s="260">
        <v>127</v>
      </c>
      <c r="T7" s="260">
        <v>161.72</v>
      </c>
      <c r="U7" s="260">
        <v>161.72</v>
      </c>
      <c r="V7" s="260"/>
      <c r="W7" s="260"/>
      <c r="X7" s="260"/>
      <c r="Y7" s="260"/>
      <c r="Z7" s="260"/>
      <c r="AA7" s="260"/>
      <c r="AB7" s="259"/>
      <c r="AC7" s="259"/>
      <c r="AD7" s="259"/>
      <c r="AE7" s="135">
        <f>D7+G7+J7+M7+P7+S7+V7+Y7+AB7</f>
        <v>73539</v>
      </c>
      <c r="AF7" s="135">
        <f>E7+H7+K7+N7+Q7+T7+W7+Z7+AC7</f>
        <v>74581.972999999998</v>
      </c>
      <c r="AG7" s="135">
        <f t="shared" si="0"/>
        <v>94621</v>
      </c>
      <c r="AH7" s="135">
        <f t="shared" si="1"/>
        <v>74581.972999999998</v>
      </c>
      <c r="AI7" s="135">
        <f t="shared" si="1"/>
        <v>73949.475999999995</v>
      </c>
      <c r="AJ7" s="263">
        <f t="shared" ref="AJ7:AJ11" si="2">AI7/AH7</f>
        <v>0.99151943861823011</v>
      </c>
    </row>
    <row r="8" spans="1:36" ht="15.75" x14ac:dyDescent="0.25">
      <c r="A8" s="71">
        <v>6</v>
      </c>
      <c r="B8" s="71"/>
      <c r="C8" s="74" t="s">
        <v>253</v>
      </c>
      <c r="D8" s="135">
        <f t="shared" ref="D8:AE8" si="3">SUM(D5:D7)</f>
        <v>58457</v>
      </c>
      <c r="E8" s="135">
        <f t="shared" si="3"/>
        <v>61180.609000000004</v>
      </c>
      <c r="F8" s="486">
        <f t="shared" si="3"/>
        <v>60548.112000000001</v>
      </c>
      <c r="G8" s="135">
        <f t="shared" si="3"/>
        <v>11630</v>
      </c>
      <c r="H8" s="135">
        <f t="shared" ref="H8:I8" si="4">SUM(H5:H7)</f>
        <v>12058.841</v>
      </c>
      <c r="I8" s="486">
        <f t="shared" si="4"/>
        <v>12058.841</v>
      </c>
      <c r="J8" s="135">
        <f t="shared" si="3"/>
        <v>10495</v>
      </c>
      <c r="K8" s="135">
        <f t="shared" ref="K8:L8" si="5">SUM(K5:K7)</f>
        <v>9576.1489999999994</v>
      </c>
      <c r="L8" s="486">
        <f t="shared" si="5"/>
        <v>9576.1489999999994</v>
      </c>
      <c r="M8" s="135">
        <f t="shared" si="3"/>
        <v>0</v>
      </c>
      <c r="N8" s="135">
        <f t="shared" ref="N8:O8" si="6">SUM(N5:N7)</f>
        <v>0</v>
      </c>
      <c r="O8" s="135">
        <f t="shared" si="6"/>
        <v>0</v>
      </c>
      <c r="P8" s="135">
        <f t="shared" si="3"/>
        <v>0</v>
      </c>
      <c r="Q8" s="135">
        <f t="shared" ref="Q8:R8" si="7">SUM(Q5:Q7)</f>
        <v>0</v>
      </c>
      <c r="R8" s="135">
        <f t="shared" si="7"/>
        <v>0</v>
      </c>
      <c r="S8" s="135">
        <f t="shared" si="3"/>
        <v>127</v>
      </c>
      <c r="T8" s="135">
        <f t="shared" ref="T8:U8" si="8">SUM(T5:T7)</f>
        <v>183.81899999999999</v>
      </c>
      <c r="U8" s="486">
        <f t="shared" si="8"/>
        <v>183.81899999999999</v>
      </c>
      <c r="V8" s="135">
        <f t="shared" si="3"/>
        <v>0</v>
      </c>
      <c r="W8" s="135">
        <f t="shared" ref="W8:X8" si="9">SUM(W5:W7)</f>
        <v>0</v>
      </c>
      <c r="X8" s="135">
        <f t="shared" si="9"/>
        <v>0</v>
      </c>
      <c r="Y8" s="135">
        <f t="shared" si="3"/>
        <v>0</v>
      </c>
      <c r="Z8" s="135">
        <f t="shared" ref="Z8:AA8" si="10">SUM(Z5:Z7)</f>
        <v>0</v>
      </c>
      <c r="AA8" s="135">
        <f t="shared" si="10"/>
        <v>0</v>
      </c>
      <c r="AB8" s="135">
        <f t="shared" si="3"/>
        <v>0</v>
      </c>
      <c r="AC8" s="135">
        <f t="shared" ref="AC8:AD8" si="11">SUM(AC5:AC7)</f>
        <v>0</v>
      </c>
      <c r="AD8" s="135">
        <f t="shared" si="11"/>
        <v>0</v>
      </c>
      <c r="AE8" s="135">
        <f t="shared" si="3"/>
        <v>80709</v>
      </c>
      <c r="AF8" s="135">
        <f t="shared" ref="AF8:AH8" si="12">SUM(AF5:AF7)</f>
        <v>81751.972999999998</v>
      </c>
      <c r="AG8" s="135">
        <f t="shared" si="12"/>
        <v>102961</v>
      </c>
      <c r="AH8" s="135">
        <f t="shared" si="12"/>
        <v>82999.418000000005</v>
      </c>
      <c r="AI8" s="486">
        <f t="shared" ref="AI8" si="13">SUM(AI5:AI7)</f>
        <v>82366.921000000002</v>
      </c>
      <c r="AJ8" s="263">
        <f t="shared" si="2"/>
        <v>0.99237950078155968</v>
      </c>
    </row>
    <row r="9" spans="1:36" x14ac:dyDescent="0.25">
      <c r="A9" s="71">
        <v>7</v>
      </c>
      <c r="B9" s="71"/>
      <c r="C9" s="80" t="s">
        <v>238</v>
      </c>
      <c r="D9" s="136">
        <f t="shared" ref="D9:AE9" si="14">SUMIF($B5:$B7,"kötelező",D5:D7)</f>
        <v>52457</v>
      </c>
      <c r="E9" s="136">
        <f t="shared" si="14"/>
        <v>55180.609000000004</v>
      </c>
      <c r="F9" s="136">
        <f t="shared" si="14"/>
        <v>54548.112000000001</v>
      </c>
      <c r="G9" s="136">
        <f t="shared" si="14"/>
        <v>10460</v>
      </c>
      <c r="H9" s="136">
        <f t="shared" ref="H9:I9" si="15">SUMIF($B5:$B7,"kötelező",H5:H7)</f>
        <v>10888.841</v>
      </c>
      <c r="I9" s="136">
        <f t="shared" si="15"/>
        <v>10888.841</v>
      </c>
      <c r="J9" s="136">
        <f t="shared" si="14"/>
        <v>10495</v>
      </c>
      <c r="K9" s="136">
        <f t="shared" ref="K9:L9" si="16">SUMIF($B5:$B7,"kötelező",K5:K7)</f>
        <v>9576.1489999999994</v>
      </c>
      <c r="L9" s="136">
        <f t="shared" si="16"/>
        <v>9576.1489999999994</v>
      </c>
      <c r="M9" s="136">
        <f t="shared" si="14"/>
        <v>0</v>
      </c>
      <c r="N9" s="136">
        <f t="shared" ref="N9:O9" si="17">SUMIF($B5:$B7,"kötelező",N5:N7)</f>
        <v>0</v>
      </c>
      <c r="O9" s="136">
        <f t="shared" si="17"/>
        <v>0</v>
      </c>
      <c r="P9" s="136">
        <f t="shared" si="14"/>
        <v>0</v>
      </c>
      <c r="Q9" s="136">
        <f t="shared" ref="Q9:R9" si="18">SUMIF($B5:$B7,"kötelező",Q5:Q7)</f>
        <v>0</v>
      </c>
      <c r="R9" s="136">
        <f t="shared" si="18"/>
        <v>0</v>
      </c>
      <c r="S9" s="136">
        <f t="shared" si="14"/>
        <v>127</v>
      </c>
      <c r="T9" s="136">
        <f t="shared" ref="T9:U9" si="19">SUMIF($B5:$B7,"kötelező",T5:T7)</f>
        <v>183.81899999999999</v>
      </c>
      <c r="U9" s="136">
        <f t="shared" si="19"/>
        <v>183.81899999999999</v>
      </c>
      <c r="V9" s="136">
        <f t="shared" si="14"/>
        <v>0</v>
      </c>
      <c r="W9" s="136">
        <f t="shared" ref="W9:X9" si="20">SUMIF($B5:$B7,"kötelező",W5:W7)</f>
        <v>0</v>
      </c>
      <c r="X9" s="136">
        <f t="shared" si="20"/>
        <v>0</v>
      </c>
      <c r="Y9" s="136">
        <f t="shared" si="14"/>
        <v>0</v>
      </c>
      <c r="Z9" s="136">
        <f t="shared" ref="Z9:AA9" si="21">SUMIF($B5:$B7,"kötelező",Z5:Z7)</f>
        <v>0</v>
      </c>
      <c r="AA9" s="136">
        <f t="shared" si="21"/>
        <v>0</v>
      </c>
      <c r="AB9" s="136">
        <f t="shared" si="14"/>
        <v>0</v>
      </c>
      <c r="AC9" s="136">
        <f t="shared" ref="AC9:AD9" si="22">SUMIF($B5:$B7,"kötelező",AC5:AC7)</f>
        <v>0</v>
      </c>
      <c r="AD9" s="136">
        <f t="shared" si="22"/>
        <v>0</v>
      </c>
      <c r="AE9" s="136">
        <f t="shared" si="14"/>
        <v>73539</v>
      </c>
      <c r="AF9" s="136">
        <f t="shared" ref="AF9:AH9" si="23">SUMIF($B5:$B7,"kötelező",AF5:AF7)</f>
        <v>74581.972999999998</v>
      </c>
      <c r="AG9" s="136">
        <f t="shared" si="23"/>
        <v>94621</v>
      </c>
      <c r="AH9" s="136">
        <f t="shared" si="23"/>
        <v>75829.418000000005</v>
      </c>
      <c r="AI9" s="136">
        <f t="shared" ref="AI9" si="24">SUMIF($B5:$B7,"kötelező",AI5:AI7)</f>
        <v>75196.921000000002</v>
      </c>
      <c r="AJ9" s="262">
        <f t="shared" si="2"/>
        <v>0.99165894956493006</v>
      </c>
    </row>
    <row r="10" spans="1:36" x14ac:dyDescent="0.25">
      <c r="A10" s="71">
        <v>8</v>
      </c>
      <c r="B10" s="71"/>
      <c r="C10" s="80" t="s">
        <v>305</v>
      </c>
      <c r="D10" s="136">
        <f>SUMIF($B5:$B7,"államigazg",D5:D7)</f>
        <v>6000</v>
      </c>
      <c r="E10" s="136">
        <f>SUMIF($B5:$B7,"államigazg",E5:E7)</f>
        <v>6000</v>
      </c>
      <c r="F10" s="136">
        <f>SUMIF($B5:$B7,"államigazg",F5:F7)</f>
        <v>6000</v>
      </c>
      <c r="G10" s="136">
        <f t="shared" ref="G10:AE10" si="25">SUMIF($B5:$B7,"államigazg",G5:G7)</f>
        <v>1170</v>
      </c>
      <c r="H10" s="136">
        <f t="shared" ref="H10:I10" si="26">SUMIF($B5:$B7,"államigazg",H5:H7)</f>
        <v>1170</v>
      </c>
      <c r="I10" s="136">
        <f t="shared" si="26"/>
        <v>1170</v>
      </c>
      <c r="J10" s="136">
        <f t="shared" si="25"/>
        <v>0</v>
      </c>
      <c r="K10" s="136">
        <f t="shared" ref="K10:L10" si="27">SUMIF($B5:$B7,"államigazg",K5:K7)</f>
        <v>0</v>
      </c>
      <c r="L10" s="136">
        <f t="shared" si="27"/>
        <v>0</v>
      </c>
      <c r="M10" s="136">
        <f t="shared" si="25"/>
        <v>0</v>
      </c>
      <c r="N10" s="136">
        <f t="shared" ref="N10:O10" si="28">SUMIF($B5:$B7,"államigazg",N5:N7)</f>
        <v>0</v>
      </c>
      <c r="O10" s="136">
        <f t="shared" si="28"/>
        <v>0</v>
      </c>
      <c r="P10" s="136">
        <f t="shared" si="25"/>
        <v>0</v>
      </c>
      <c r="Q10" s="136">
        <f t="shared" ref="Q10:R10" si="29">SUMIF($B5:$B7,"államigazg",Q5:Q7)</f>
        <v>0</v>
      </c>
      <c r="R10" s="136">
        <f t="shared" si="29"/>
        <v>0</v>
      </c>
      <c r="S10" s="136">
        <f t="shared" si="25"/>
        <v>0</v>
      </c>
      <c r="T10" s="136">
        <f t="shared" ref="T10:U10" si="30">SUMIF($B5:$B7,"államigazg",T5:T7)</f>
        <v>0</v>
      </c>
      <c r="U10" s="136">
        <f t="shared" si="30"/>
        <v>0</v>
      </c>
      <c r="V10" s="136">
        <f t="shared" si="25"/>
        <v>0</v>
      </c>
      <c r="W10" s="136">
        <f t="shared" ref="W10:X10" si="31">SUMIF($B5:$B7,"államigazg",W5:W7)</f>
        <v>0</v>
      </c>
      <c r="X10" s="136">
        <f t="shared" si="31"/>
        <v>0</v>
      </c>
      <c r="Y10" s="136">
        <f t="shared" si="25"/>
        <v>0</v>
      </c>
      <c r="Z10" s="136">
        <f t="shared" ref="Z10:AA10" si="32">SUMIF($B5:$B7,"államigazg",Z5:Z7)</f>
        <v>0</v>
      </c>
      <c r="AA10" s="136">
        <f t="shared" si="32"/>
        <v>0</v>
      </c>
      <c r="AB10" s="136">
        <f t="shared" si="25"/>
        <v>0</v>
      </c>
      <c r="AC10" s="136">
        <f t="shared" ref="AC10:AD10" si="33">SUMIF($B5:$B7,"államigazg",AC5:AC7)</f>
        <v>0</v>
      </c>
      <c r="AD10" s="136">
        <f t="shared" si="33"/>
        <v>0</v>
      </c>
      <c r="AE10" s="136">
        <f t="shared" si="25"/>
        <v>7170</v>
      </c>
      <c r="AF10" s="136">
        <f t="shared" ref="AF10:AH10" si="34">SUMIF($B5:$B7,"államigazg",AF5:AF7)</f>
        <v>7170</v>
      </c>
      <c r="AG10" s="136">
        <f t="shared" si="34"/>
        <v>8340</v>
      </c>
      <c r="AH10" s="136">
        <f t="shared" si="34"/>
        <v>7170</v>
      </c>
      <c r="AI10" s="136">
        <f t="shared" ref="AI10" si="35">SUMIF($B5:$B7,"államigazg",AI5:AI7)</f>
        <v>7170</v>
      </c>
      <c r="AJ10" s="262">
        <f t="shared" si="2"/>
        <v>1</v>
      </c>
    </row>
    <row r="11" spans="1:36" x14ac:dyDescent="0.25">
      <c r="A11" s="71">
        <v>9</v>
      </c>
      <c r="B11" s="71"/>
      <c r="C11" s="80" t="s">
        <v>295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261">
        <v>17</v>
      </c>
      <c r="AF11" s="261">
        <v>17</v>
      </c>
      <c r="AG11" s="261">
        <v>17</v>
      </c>
      <c r="AH11" s="261">
        <v>17</v>
      </c>
      <c r="AI11" s="307">
        <v>16.829999999999998</v>
      </c>
      <c r="AJ11" s="263">
        <f t="shared" si="2"/>
        <v>0.98999999999999988</v>
      </c>
    </row>
    <row r="12" spans="1:36" x14ac:dyDescent="0.25">
      <c r="A12" s="71">
        <v>10</v>
      </c>
      <c r="B12" s="71"/>
      <c r="C12" s="80" t="s">
        <v>296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/>
    </row>
  </sheetData>
  <mergeCells count="12">
    <mergeCell ref="S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21"/>
  <sheetViews>
    <sheetView view="pageBreakPreview" zoomScaleNormal="100" zoomScaleSheetLayoutView="100" workbookViewId="0">
      <pane xSplit="3" ySplit="4" topLeftCell="R5" activePane="bottomRight" state="frozen"/>
      <selection pane="topRight" activeCell="D1" sqref="D1"/>
      <selection pane="bottomLeft" activeCell="A5" sqref="A5"/>
      <selection pane="bottomRight" activeCell="C2" sqref="C2:AJ2"/>
    </sheetView>
  </sheetViews>
  <sheetFormatPr defaultRowHeight="15" x14ac:dyDescent="0.25"/>
  <cols>
    <col min="1" max="1" width="5.5703125" style="72" customWidth="1"/>
    <col min="2" max="2" width="14" style="89" customWidth="1"/>
    <col min="3" max="3" width="29.28515625" style="72" customWidth="1"/>
    <col min="4" max="18" width="12.28515625" style="72" customWidth="1"/>
    <col min="19" max="21" width="14.28515625" style="72" customWidth="1"/>
    <col min="22" max="31" width="12.28515625" style="72" customWidth="1"/>
    <col min="32" max="32" width="11.85546875" style="83" hidden="1" customWidth="1"/>
    <col min="33" max="33" width="12" style="72" hidden="1" customWidth="1"/>
    <col min="34" max="34" width="12.42578125" style="186" bestFit="1" customWidth="1"/>
    <col min="35" max="35" width="12.42578125" style="72" bestFit="1" customWidth="1"/>
    <col min="36" max="16384" width="9.140625" style="72"/>
  </cols>
  <sheetData>
    <row r="1" spans="1:36" x14ac:dyDescent="0.25">
      <c r="V1" s="866" t="s">
        <v>1027</v>
      </c>
      <c r="W1" s="866"/>
      <c r="X1" s="866"/>
      <c r="Y1" s="866"/>
      <c r="Z1" s="866"/>
      <c r="AA1" s="866"/>
      <c r="AB1" s="866"/>
      <c r="AC1" s="866"/>
      <c r="AD1" s="866"/>
      <c r="AE1" s="866"/>
    </row>
    <row r="2" spans="1:36" ht="54" customHeight="1" x14ac:dyDescent="0.25">
      <c r="A2" s="71">
        <v>1</v>
      </c>
      <c r="B2" s="84"/>
      <c r="C2" s="871" t="s">
        <v>553</v>
      </c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872"/>
      <c r="W2" s="872"/>
      <c r="X2" s="872"/>
      <c r="Y2" s="872"/>
      <c r="Z2" s="872"/>
      <c r="AA2" s="872"/>
      <c r="AB2" s="872"/>
      <c r="AC2" s="872"/>
      <c r="AD2" s="872"/>
      <c r="AE2" s="872"/>
      <c r="AF2" s="872"/>
      <c r="AG2" s="872"/>
      <c r="AH2" s="872"/>
      <c r="AI2" s="872"/>
      <c r="AJ2" s="873"/>
    </row>
    <row r="3" spans="1:36" ht="30" customHeight="1" x14ac:dyDescent="0.25">
      <c r="A3" s="71">
        <v>2</v>
      </c>
      <c r="B3" s="73" t="s">
        <v>255</v>
      </c>
      <c r="C3" s="74" t="s">
        <v>199</v>
      </c>
      <c r="D3" s="868" t="s">
        <v>91</v>
      </c>
      <c r="E3" s="869"/>
      <c r="F3" s="870"/>
      <c r="G3" s="868" t="s">
        <v>270</v>
      </c>
      <c r="H3" s="869"/>
      <c r="I3" s="870"/>
      <c r="J3" s="868" t="s">
        <v>93</v>
      </c>
      <c r="K3" s="869"/>
      <c r="L3" s="870"/>
      <c r="M3" s="868" t="s">
        <v>271</v>
      </c>
      <c r="N3" s="869"/>
      <c r="O3" s="870"/>
      <c r="P3" s="868" t="s">
        <v>310</v>
      </c>
      <c r="Q3" s="869"/>
      <c r="R3" s="870"/>
      <c r="S3" s="868" t="s">
        <v>109</v>
      </c>
      <c r="T3" s="869"/>
      <c r="U3" s="870"/>
      <c r="V3" s="868" t="s">
        <v>112</v>
      </c>
      <c r="W3" s="869"/>
      <c r="X3" s="870"/>
      <c r="Y3" s="868" t="s">
        <v>274</v>
      </c>
      <c r="Z3" s="869"/>
      <c r="AA3" s="870"/>
      <c r="AB3" s="868" t="s">
        <v>294</v>
      </c>
      <c r="AC3" s="869"/>
      <c r="AD3" s="870"/>
      <c r="AE3" s="874" t="s">
        <v>242</v>
      </c>
      <c r="AF3" s="875"/>
      <c r="AG3" s="875"/>
      <c r="AH3" s="875"/>
      <c r="AI3" s="875"/>
      <c r="AJ3" s="876"/>
    </row>
    <row r="4" spans="1:36" ht="30" x14ac:dyDescent="0.25">
      <c r="A4" s="71">
        <v>3</v>
      </c>
      <c r="B4" s="84"/>
      <c r="C4" s="74" t="s">
        <v>250</v>
      </c>
      <c r="D4" s="270" t="s">
        <v>402</v>
      </c>
      <c r="E4" s="100" t="s">
        <v>399</v>
      </c>
      <c r="F4" s="102" t="s">
        <v>407</v>
      </c>
      <c r="G4" s="270" t="s">
        <v>402</v>
      </c>
      <c r="H4" s="100" t="s">
        <v>399</v>
      </c>
      <c r="I4" s="102" t="s">
        <v>407</v>
      </c>
      <c r="J4" s="270" t="s">
        <v>402</v>
      </c>
      <c r="K4" s="100" t="s">
        <v>399</v>
      </c>
      <c r="L4" s="102" t="s">
        <v>407</v>
      </c>
      <c r="M4" s="270" t="s">
        <v>402</v>
      </c>
      <c r="N4" s="100" t="s">
        <v>399</v>
      </c>
      <c r="O4" s="102" t="s">
        <v>407</v>
      </c>
      <c r="P4" s="270" t="s">
        <v>402</v>
      </c>
      <c r="Q4" s="100" t="s">
        <v>399</v>
      </c>
      <c r="R4" s="102" t="s">
        <v>407</v>
      </c>
      <c r="S4" s="270" t="s">
        <v>402</v>
      </c>
      <c r="T4" s="100" t="s">
        <v>399</v>
      </c>
      <c r="U4" s="102" t="s">
        <v>407</v>
      </c>
      <c r="V4" s="270" t="s">
        <v>402</v>
      </c>
      <c r="W4" s="100" t="s">
        <v>399</v>
      </c>
      <c r="X4" s="102" t="s">
        <v>407</v>
      </c>
      <c r="Y4" s="270" t="s">
        <v>402</v>
      </c>
      <c r="Z4" s="100" t="s">
        <v>399</v>
      </c>
      <c r="AA4" s="102" t="s">
        <v>407</v>
      </c>
      <c r="AB4" s="270" t="s">
        <v>402</v>
      </c>
      <c r="AC4" s="100" t="s">
        <v>399</v>
      </c>
      <c r="AD4" s="102" t="s">
        <v>407</v>
      </c>
      <c r="AE4" s="270" t="s">
        <v>402</v>
      </c>
      <c r="AF4" s="100" t="s">
        <v>399</v>
      </c>
      <c r="AG4" s="270" t="s">
        <v>402</v>
      </c>
      <c r="AH4" s="100" t="s">
        <v>399</v>
      </c>
      <c r="AI4" s="102" t="s">
        <v>407</v>
      </c>
      <c r="AJ4" s="102" t="s">
        <v>408</v>
      </c>
    </row>
    <row r="5" spans="1:36" x14ac:dyDescent="0.25">
      <c r="A5" s="71">
        <v>4</v>
      </c>
      <c r="B5" s="84" t="s">
        <v>207</v>
      </c>
      <c r="C5" s="85" t="s">
        <v>256</v>
      </c>
      <c r="D5" s="133">
        <v>120</v>
      </c>
      <c r="E5" s="133">
        <v>120</v>
      </c>
      <c r="F5" s="133">
        <v>120</v>
      </c>
      <c r="G5" s="133">
        <v>29</v>
      </c>
      <c r="H5" s="133">
        <v>27.422000000000001</v>
      </c>
      <c r="I5" s="133">
        <v>27.422000000000001</v>
      </c>
      <c r="J5" s="133">
        <v>583</v>
      </c>
      <c r="K5" s="133">
        <v>414.16</v>
      </c>
      <c r="L5" s="133">
        <v>414.16</v>
      </c>
      <c r="M5" s="133"/>
      <c r="N5" s="133"/>
      <c r="O5" s="133"/>
      <c r="P5" s="133">
        <v>120</v>
      </c>
      <c r="Q5" s="133">
        <v>120</v>
      </c>
      <c r="R5" s="133">
        <v>120</v>
      </c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5">
        <f>AB5+Y5+V5+S5+P5+M5+J5+G5+D5</f>
        <v>852</v>
      </c>
      <c r="AF5" s="87">
        <v>11317</v>
      </c>
      <c r="AG5" s="185">
        <v>10318</v>
      </c>
      <c r="AH5" s="187">
        <f>E5+H5+K5+N5+Q5+T5+W5+Z5+AC5</f>
        <v>681.58199999999999</v>
      </c>
      <c r="AI5" s="187">
        <f>F5+I5+L5+O5+R5+U5+X5+AA5+AD5</f>
        <v>681.58199999999999</v>
      </c>
      <c r="AJ5" s="263">
        <f>AI5/AH5</f>
        <v>1</v>
      </c>
    </row>
    <row r="6" spans="1:36" x14ac:dyDescent="0.25">
      <c r="A6" s="71">
        <v>6</v>
      </c>
      <c r="B6" s="84" t="s">
        <v>207</v>
      </c>
      <c r="C6" s="85" t="s">
        <v>257</v>
      </c>
      <c r="D6" s="133"/>
      <c r="E6" s="133"/>
      <c r="F6" s="133"/>
      <c r="G6" s="133"/>
      <c r="H6" s="133">
        <v>1.228</v>
      </c>
      <c r="I6" s="133">
        <v>1.228</v>
      </c>
      <c r="J6" s="133">
        <v>321</v>
      </c>
      <c r="K6" s="133">
        <v>266.303</v>
      </c>
      <c r="L6" s="133">
        <v>266.303</v>
      </c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5">
        <f t="shared" ref="AE6:AE15" si="0">AB6+Y6+V6+S6+P6+M6+J6+G6+D6</f>
        <v>321</v>
      </c>
      <c r="AF6" s="87">
        <v>173</v>
      </c>
      <c r="AG6" s="185">
        <v>211</v>
      </c>
      <c r="AH6" s="187">
        <f t="shared" ref="AH6:AI16" si="1">E6+H6+K6+N6+Q6+T6+W6+Z6+AC6</f>
        <v>267.53100000000001</v>
      </c>
      <c r="AI6" s="187">
        <f t="shared" si="1"/>
        <v>267.53100000000001</v>
      </c>
      <c r="AJ6" s="263">
        <f t="shared" ref="AJ6:AJ20" si="2">AI6/AH6</f>
        <v>1</v>
      </c>
    </row>
    <row r="7" spans="1:36" x14ac:dyDescent="0.25">
      <c r="A7" s="71">
        <v>7</v>
      </c>
      <c r="B7" s="84" t="s">
        <v>213</v>
      </c>
      <c r="C7" s="85" t="s">
        <v>258</v>
      </c>
      <c r="D7" s="133">
        <v>307</v>
      </c>
      <c r="E7" s="133">
        <v>384</v>
      </c>
      <c r="F7" s="133">
        <v>384</v>
      </c>
      <c r="G7" s="133">
        <v>62</v>
      </c>
      <c r="H7" s="133">
        <v>67.959999999999994</v>
      </c>
      <c r="I7" s="133">
        <v>67.959999999999994</v>
      </c>
      <c r="J7" s="133">
        <v>320</v>
      </c>
      <c r="K7" s="133">
        <v>236.928</v>
      </c>
      <c r="L7" s="133">
        <v>236.928</v>
      </c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5">
        <f t="shared" si="0"/>
        <v>689</v>
      </c>
      <c r="AF7" s="87">
        <v>3044</v>
      </c>
      <c r="AG7" s="185">
        <v>2528</v>
      </c>
      <c r="AH7" s="187">
        <f t="shared" si="1"/>
        <v>688.88799999999992</v>
      </c>
      <c r="AI7" s="187">
        <f t="shared" si="1"/>
        <v>688.88799999999992</v>
      </c>
      <c r="AJ7" s="263">
        <f t="shared" si="2"/>
        <v>1</v>
      </c>
    </row>
    <row r="8" spans="1:36" x14ac:dyDescent="0.25">
      <c r="A8" s="71">
        <v>8</v>
      </c>
      <c r="B8" s="84" t="s">
        <v>207</v>
      </c>
      <c r="C8" s="85" t="s">
        <v>259</v>
      </c>
      <c r="D8" s="133">
        <v>6681</v>
      </c>
      <c r="E8" s="133">
        <v>6680.8770000000004</v>
      </c>
      <c r="F8" s="133">
        <v>6680.8770000000004</v>
      </c>
      <c r="G8" s="133">
        <v>1336</v>
      </c>
      <c r="H8" s="133">
        <v>1391.559</v>
      </c>
      <c r="I8" s="133">
        <v>1391.559</v>
      </c>
      <c r="J8" s="133">
        <v>1521</v>
      </c>
      <c r="K8" s="133">
        <v>1597.643</v>
      </c>
      <c r="L8" s="133">
        <v>1597.643</v>
      </c>
      <c r="M8" s="133"/>
      <c r="N8" s="133"/>
      <c r="O8" s="133"/>
      <c r="P8" s="133"/>
      <c r="Q8" s="133"/>
      <c r="R8" s="133"/>
      <c r="S8" s="133"/>
      <c r="T8" s="133">
        <v>70.900000000000006</v>
      </c>
      <c r="U8" s="133">
        <v>70.900000000000006</v>
      </c>
      <c r="V8" s="133"/>
      <c r="W8" s="133"/>
      <c r="X8" s="133"/>
      <c r="Y8" s="133"/>
      <c r="Z8" s="133"/>
      <c r="AA8" s="133"/>
      <c r="AB8" s="133"/>
      <c r="AC8" s="133"/>
      <c r="AD8" s="133"/>
      <c r="AE8" s="135">
        <f t="shared" si="0"/>
        <v>9538</v>
      </c>
      <c r="AF8" s="87">
        <v>6614</v>
      </c>
      <c r="AG8" s="185">
        <v>6801</v>
      </c>
      <c r="AH8" s="187">
        <f t="shared" si="1"/>
        <v>9740.9790000000012</v>
      </c>
      <c r="AI8" s="187">
        <f>F8+I8+L8+O8+R8+U8+X8+AA8+AD8</f>
        <v>9740.9790000000012</v>
      </c>
      <c r="AJ8" s="263">
        <f t="shared" si="2"/>
        <v>1</v>
      </c>
    </row>
    <row r="9" spans="1:36" x14ac:dyDescent="0.25">
      <c r="A9" s="71">
        <v>9</v>
      </c>
      <c r="B9" s="84" t="s">
        <v>207</v>
      </c>
      <c r="C9" s="85" t="s">
        <v>260</v>
      </c>
      <c r="D9" s="133"/>
      <c r="E9" s="133"/>
      <c r="F9" s="133"/>
      <c r="G9" s="133"/>
      <c r="H9" s="133"/>
      <c r="I9" s="133"/>
      <c r="J9" s="133">
        <v>600</v>
      </c>
      <c r="K9" s="133">
        <v>600</v>
      </c>
      <c r="L9" s="133">
        <v>600</v>
      </c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5">
        <f t="shared" si="0"/>
        <v>600</v>
      </c>
      <c r="AF9" s="87">
        <v>480</v>
      </c>
      <c r="AG9" s="185">
        <v>480</v>
      </c>
      <c r="AH9" s="187">
        <f t="shared" si="1"/>
        <v>600</v>
      </c>
      <c r="AI9" s="187">
        <f t="shared" si="1"/>
        <v>600</v>
      </c>
      <c r="AJ9" s="263">
        <f t="shared" si="2"/>
        <v>1</v>
      </c>
    </row>
    <row r="10" spans="1:36" x14ac:dyDescent="0.25">
      <c r="A10" s="71">
        <v>10</v>
      </c>
      <c r="B10" s="84" t="s">
        <v>213</v>
      </c>
      <c r="C10" s="85" t="s">
        <v>298</v>
      </c>
      <c r="D10" s="133">
        <v>47814</v>
      </c>
      <c r="E10" s="126">
        <v>52302.269</v>
      </c>
      <c r="F10" s="126">
        <v>51985.603000000003</v>
      </c>
      <c r="G10" s="133">
        <v>9283</v>
      </c>
      <c r="H10" s="133">
        <v>10592.919</v>
      </c>
      <c r="I10" s="133">
        <v>10592.919</v>
      </c>
      <c r="J10" s="133">
        <v>30380</v>
      </c>
      <c r="K10" s="133">
        <v>26036.133000000002</v>
      </c>
      <c r="L10" s="133">
        <v>26036.127</v>
      </c>
      <c r="M10" s="133"/>
      <c r="N10" s="133"/>
      <c r="O10" s="133"/>
      <c r="P10" s="133"/>
      <c r="Q10" s="133"/>
      <c r="R10" s="133"/>
      <c r="S10" s="133">
        <v>127</v>
      </c>
      <c r="T10" s="133">
        <v>204.59</v>
      </c>
      <c r="U10" s="133">
        <v>204.59</v>
      </c>
      <c r="V10" s="133"/>
      <c r="W10" s="133"/>
      <c r="X10" s="133"/>
      <c r="Y10" s="133"/>
      <c r="Z10" s="133"/>
      <c r="AA10" s="133"/>
      <c r="AB10" s="133"/>
      <c r="AC10" s="133"/>
      <c r="AD10" s="133"/>
      <c r="AE10" s="135">
        <f t="shared" si="0"/>
        <v>87604</v>
      </c>
      <c r="AF10" s="87">
        <v>63126</v>
      </c>
      <c r="AG10" s="185">
        <f>58896+3200</f>
        <v>62096</v>
      </c>
      <c r="AH10" s="187">
        <f t="shared" si="1"/>
        <v>89135.910999999993</v>
      </c>
      <c r="AI10" s="187">
        <f t="shared" si="1"/>
        <v>88819.239000000001</v>
      </c>
      <c r="AJ10" s="263">
        <f t="shared" si="2"/>
        <v>0.99644731291297406</v>
      </c>
    </row>
    <row r="11" spans="1:36" x14ac:dyDescent="0.25">
      <c r="A11" s="71">
        <v>11</v>
      </c>
      <c r="B11" s="84" t="s">
        <v>207</v>
      </c>
      <c r="C11" s="85" t="s">
        <v>262</v>
      </c>
      <c r="D11" s="133">
        <v>6695</v>
      </c>
      <c r="E11" s="133">
        <v>8651.7479999999996</v>
      </c>
      <c r="F11" s="133">
        <v>8651.7479999999996</v>
      </c>
      <c r="G11" s="133">
        <v>1314</v>
      </c>
      <c r="H11" s="133">
        <v>1827.2339999999999</v>
      </c>
      <c r="I11" s="133">
        <v>1827.2339999999999</v>
      </c>
      <c r="J11" s="133">
        <v>2628</v>
      </c>
      <c r="K11" s="133">
        <v>2422.752</v>
      </c>
      <c r="L11" s="133">
        <v>2422.7579999999998</v>
      </c>
      <c r="M11" s="133"/>
      <c r="N11" s="133"/>
      <c r="O11" s="133"/>
      <c r="P11" s="133"/>
      <c r="Q11" s="133"/>
      <c r="R11" s="133"/>
      <c r="S11" s="133"/>
      <c r="T11" s="133">
        <v>9.5500000000000007</v>
      </c>
      <c r="U11" s="133">
        <v>9.5500000000000007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5">
        <f t="shared" si="0"/>
        <v>10637</v>
      </c>
      <c r="AF11" s="87">
        <v>9158</v>
      </c>
      <c r="AG11" s="185">
        <v>8953</v>
      </c>
      <c r="AH11" s="187">
        <f t="shared" si="1"/>
        <v>12911.284</v>
      </c>
      <c r="AI11" s="187">
        <f t="shared" si="1"/>
        <v>12911.289999999999</v>
      </c>
      <c r="AJ11" s="263">
        <f t="shared" si="2"/>
        <v>1.000000464709784</v>
      </c>
    </row>
    <row r="12" spans="1:36" x14ac:dyDescent="0.25">
      <c r="A12" s="71">
        <v>12</v>
      </c>
      <c r="B12" s="84" t="s">
        <v>207</v>
      </c>
      <c r="C12" s="85" t="s">
        <v>350</v>
      </c>
      <c r="D12" s="133">
        <v>6892</v>
      </c>
      <c r="E12" s="133">
        <v>10441.263999999999</v>
      </c>
      <c r="F12" s="133">
        <v>10441.263999999999</v>
      </c>
      <c r="G12" s="133">
        <v>1293</v>
      </c>
      <c r="H12" s="133">
        <v>2112.3609999999999</v>
      </c>
      <c r="I12" s="133">
        <v>2112.3609999999999</v>
      </c>
      <c r="J12" s="133">
        <v>727</v>
      </c>
      <c r="K12" s="133">
        <v>564.29</v>
      </c>
      <c r="L12" s="133">
        <v>564.29</v>
      </c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5">
        <f t="shared" si="0"/>
        <v>8912</v>
      </c>
      <c r="AF12" s="87">
        <v>2424</v>
      </c>
      <c r="AG12" s="185">
        <v>2678</v>
      </c>
      <c r="AH12" s="187">
        <f t="shared" si="1"/>
        <v>13117.915000000001</v>
      </c>
      <c r="AI12" s="187">
        <f t="shared" si="1"/>
        <v>13117.915000000001</v>
      </c>
      <c r="AJ12" s="263">
        <f t="shared" si="2"/>
        <v>1</v>
      </c>
    </row>
    <row r="13" spans="1:36" x14ac:dyDescent="0.25">
      <c r="A13" s="71">
        <v>13</v>
      </c>
      <c r="B13" s="84" t="s">
        <v>207</v>
      </c>
      <c r="C13" s="85" t="s">
        <v>263</v>
      </c>
      <c r="D13" s="133">
        <v>3312</v>
      </c>
      <c r="E13" s="133">
        <v>3767.5859999999998</v>
      </c>
      <c r="F13" s="133">
        <v>3767.5859999999998</v>
      </c>
      <c r="G13" s="133">
        <v>641</v>
      </c>
      <c r="H13" s="133">
        <v>774.39</v>
      </c>
      <c r="I13" s="133">
        <v>774.39</v>
      </c>
      <c r="J13" s="133">
        <v>7518</v>
      </c>
      <c r="K13" s="133">
        <v>5494.65</v>
      </c>
      <c r="L13" s="133">
        <v>5494.65</v>
      </c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5">
        <f t="shared" si="0"/>
        <v>11471</v>
      </c>
      <c r="AF13" s="87">
        <v>15074</v>
      </c>
      <c r="AG13" s="185">
        <v>15183</v>
      </c>
      <c r="AH13" s="187">
        <f t="shared" si="1"/>
        <v>10036.626</v>
      </c>
      <c r="AI13" s="187">
        <f t="shared" si="1"/>
        <v>10036.626</v>
      </c>
      <c r="AJ13" s="263">
        <f t="shared" si="2"/>
        <v>1</v>
      </c>
    </row>
    <row r="14" spans="1:36" x14ac:dyDescent="0.25">
      <c r="A14" s="71">
        <v>14</v>
      </c>
      <c r="B14" s="84" t="s">
        <v>207</v>
      </c>
      <c r="C14" s="85" t="s">
        <v>264</v>
      </c>
      <c r="D14" s="133">
        <v>7590</v>
      </c>
      <c r="E14" s="133">
        <v>8043.7150000000001</v>
      </c>
      <c r="F14" s="133">
        <v>8043.7150000000001</v>
      </c>
      <c r="G14" s="133">
        <v>1482</v>
      </c>
      <c r="H14" s="133">
        <v>1647.63</v>
      </c>
      <c r="I14" s="133">
        <v>1647.63</v>
      </c>
      <c r="J14" s="133">
        <v>467</v>
      </c>
      <c r="K14" s="133">
        <v>199.988</v>
      </c>
      <c r="L14" s="133">
        <v>199.988</v>
      </c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5">
        <f t="shared" si="0"/>
        <v>9539</v>
      </c>
      <c r="AF14" s="87">
        <v>6981</v>
      </c>
      <c r="AG14" s="185">
        <v>7395</v>
      </c>
      <c r="AH14" s="187">
        <f t="shared" si="1"/>
        <v>9891.3330000000005</v>
      </c>
      <c r="AI14" s="187">
        <f t="shared" si="1"/>
        <v>9891.3330000000005</v>
      </c>
      <c r="AJ14" s="263">
        <f t="shared" si="2"/>
        <v>1</v>
      </c>
    </row>
    <row r="15" spans="1:36" x14ac:dyDescent="0.25">
      <c r="A15" s="71">
        <v>15</v>
      </c>
      <c r="B15" s="84" t="s">
        <v>213</v>
      </c>
      <c r="C15" s="85" t="s">
        <v>230</v>
      </c>
      <c r="D15" s="133">
        <v>1757</v>
      </c>
      <c r="E15" s="133">
        <v>1259.9780000000001</v>
      </c>
      <c r="F15" s="133">
        <v>1259.9780000000001</v>
      </c>
      <c r="G15" s="133">
        <v>343</v>
      </c>
      <c r="H15" s="133">
        <v>325.47199999999998</v>
      </c>
      <c r="I15" s="133">
        <v>325.47199999999998</v>
      </c>
      <c r="J15" s="133">
        <v>462</v>
      </c>
      <c r="K15" s="133">
        <v>560.39200000000005</v>
      </c>
      <c r="L15" s="133">
        <v>560.39200000000005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5">
        <f t="shared" si="0"/>
        <v>2562</v>
      </c>
      <c r="AF15" s="87">
        <v>5328</v>
      </c>
      <c r="AG15" s="185">
        <v>5274</v>
      </c>
      <c r="AH15" s="187">
        <f t="shared" si="1"/>
        <v>2145.8420000000001</v>
      </c>
      <c r="AI15" s="187">
        <f t="shared" si="1"/>
        <v>2145.8420000000001</v>
      </c>
      <c r="AJ15" s="263">
        <f t="shared" si="2"/>
        <v>1</v>
      </c>
    </row>
    <row r="16" spans="1:36" x14ac:dyDescent="0.25">
      <c r="A16" s="71">
        <v>17</v>
      </c>
      <c r="B16" s="84" t="s">
        <v>213</v>
      </c>
      <c r="C16" s="85" t="s">
        <v>265</v>
      </c>
      <c r="D16" s="133"/>
      <c r="E16" s="133"/>
      <c r="F16" s="133"/>
      <c r="G16" s="133"/>
      <c r="H16" s="133"/>
      <c r="I16" s="133"/>
      <c r="J16" s="133">
        <v>1430</v>
      </c>
      <c r="K16" s="133">
        <v>513.75699999999995</v>
      </c>
      <c r="L16" s="133">
        <v>513.75699999999995</v>
      </c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5">
        <f>AB16+Y16+V16+S16+P16+M16+J16+G16+D16</f>
        <v>1430</v>
      </c>
      <c r="AF16" s="87"/>
      <c r="AG16" s="185">
        <v>1722</v>
      </c>
      <c r="AH16" s="187">
        <f t="shared" si="1"/>
        <v>513.75699999999995</v>
      </c>
      <c r="AI16" s="187">
        <f t="shared" si="1"/>
        <v>513.75699999999995</v>
      </c>
      <c r="AJ16" s="263">
        <f t="shared" si="2"/>
        <v>1</v>
      </c>
    </row>
    <row r="17" spans="1:36" x14ac:dyDescent="0.25">
      <c r="A17" s="71">
        <v>18</v>
      </c>
      <c r="B17" s="84"/>
      <c r="C17" s="226" t="s">
        <v>253</v>
      </c>
      <c r="D17" s="135">
        <f t="shared" ref="D17:AH17" si="3">SUM(D5:D16)</f>
        <v>81168</v>
      </c>
      <c r="E17" s="135">
        <f t="shared" ref="E17:F17" si="4">SUM(E5:E16)</f>
        <v>91651.436999999991</v>
      </c>
      <c r="F17" s="486">
        <f t="shared" si="4"/>
        <v>91334.770999999993</v>
      </c>
      <c r="G17" s="135">
        <f t="shared" si="3"/>
        <v>15783</v>
      </c>
      <c r="H17" s="135">
        <f t="shared" ref="H17:I17" si="5">SUM(H5:H16)</f>
        <v>18768.175000000003</v>
      </c>
      <c r="I17" s="486">
        <f t="shared" si="5"/>
        <v>18768.175000000003</v>
      </c>
      <c r="J17" s="135">
        <f t="shared" si="3"/>
        <v>46957</v>
      </c>
      <c r="K17" s="135">
        <f t="shared" ref="K17:L17" si="6">SUM(K5:K16)</f>
        <v>38906.995999999999</v>
      </c>
      <c r="L17" s="486">
        <f t="shared" si="6"/>
        <v>38906.995999999999</v>
      </c>
      <c r="M17" s="135">
        <f t="shared" si="3"/>
        <v>0</v>
      </c>
      <c r="N17" s="135">
        <f t="shared" ref="N17:O17" si="7">SUM(N5:N16)</f>
        <v>0</v>
      </c>
      <c r="O17" s="135">
        <f t="shared" si="7"/>
        <v>0</v>
      </c>
      <c r="P17" s="135">
        <f t="shared" si="3"/>
        <v>120</v>
      </c>
      <c r="Q17" s="135">
        <f t="shared" ref="Q17:R17" si="8">SUM(Q5:Q16)</f>
        <v>120</v>
      </c>
      <c r="R17" s="486">
        <f t="shared" si="8"/>
        <v>120</v>
      </c>
      <c r="S17" s="135">
        <f t="shared" si="3"/>
        <v>127</v>
      </c>
      <c r="T17" s="135">
        <f t="shared" ref="T17:U17" si="9">SUM(T5:T16)</f>
        <v>285.04000000000002</v>
      </c>
      <c r="U17" s="486">
        <f t="shared" si="9"/>
        <v>285.04000000000002</v>
      </c>
      <c r="V17" s="135">
        <f t="shared" si="3"/>
        <v>0</v>
      </c>
      <c r="W17" s="135">
        <f t="shared" ref="W17:X17" si="10">SUM(W5:W16)</f>
        <v>0</v>
      </c>
      <c r="X17" s="135">
        <f t="shared" si="10"/>
        <v>0</v>
      </c>
      <c r="Y17" s="135">
        <f t="shared" si="3"/>
        <v>0</v>
      </c>
      <c r="Z17" s="135">
        <f t="shared" ref="Z17:AA17" si="11">SUM(Z5:Z16)</f>
        <v>0</v>
      </c>
      <c r="AA17" s="135">
        <f t="shared" si="11"/>
        <v>0</v>
      </c>
      <c r="AB17" s="135">
        <f t="shared" si="3"/>
        <v>0</v>
      </c>
      <c r="AC17" s="135">
        <f t="shared" ref="AC17:AD17" si="12">SUM(AC5:AC16)</f>
        <v>0</v>
      </c>
      <c r="AD17" s="135">
        <f t="shared" si="12"/>
        <v>0</v>
      </c>
      <c r="AE17" s="135">
        <f t="shared" si="3"/>
        <v>144155</v>
      </c>
      <c r="AF17" s="135">
        <f t="shared" si="3"/>
        <v>123719</v>
      </c>
      <c r="AG17" s="135">
        <f t="shared" si="3"/>
        <v>123639</v>
      </c>
      <c r="AH17" s="135">
        <f t="shared" si="3"/>
        <v>149731.64800000002</v>
      </c>
      <c r="AI17" s="486">
        <f t="shared" ref="AI17" si="13">SUM(AI5:AI16)</f>
        <v>149414.98200000002</v>
      </c>
      <c r="AJ17" s="263">
        <f t="shared" si="2"/>
        <v>0.99788510976650713</v>
      </c>
    </row>
    <row r="18" spans="1:36" x14ac:dyDescent="0.25">
      <c r="A18" s="71">
        <v>19</v>
      </c>
      <c r="B18" s="84"/>
      <c r="C18" s="80" t="s">
        <v>238</v>
      </c>
      <c r="D18" s="136">
        <f>SUMIF($B5:$B16,"kötelező",D5:D16)</f>
        <v>31290</v>
      </c>
      <c r="E18" s="136">
        <f>SUMIF($B5:$B16,"kötelező",E5:E16)</f>
        <v>37705.19</v>
      </c>
      <c r="F18" s="136">
        <f>SUMIF($B5:$B16,"kötelező",F5:F16)</f>
        <v>37705.19</v>
      </c>
      <c r="G18" s="136">
        <f t="shared" ref="G18:AH18" si="14">SUMIF($B5:$B15,"kötelező",G5:G15)</f>
        <v>6095</v>
      </c>
      <c r="H18" s="136">
        <f t="shared" ref="H18:I18" si="15">SUMIF($B5:$B15,"kötelező",H5:H15)</f>
        <v>7781.8240000000005</v>
      </c>
      <c r="I18" s="136">
        <f t="shared" si="15"/>
        <v>7781.8240000000005</v>
      </c>
      <c r="J18" s="136">
        <f t="shared" si="14"/>
        <v>14365</v>
      </c>
      <c r="K18" s="136">
        <f t="shared" ref="K18:L18" si="16">SUMIF($B5:$B15,"kötelező",K5:K15)</f>
        <v>11559.785999999998</v>
      </c>
      <c r="L18" s="136">
        <f t="shared" si="16"/>
        <v>11559.791999999999</v>
      </c>
      <c r="M18" s="136">
        <f t="shared" si="14"/>
        <v>0</v>
      </c>
      <c r="N18" s="136">
        <f t="shared" ref="N18:O18" si="17">SUMIF($B5:$B15,"kötelező",N5:N15)</f>
        <v>0</v>
      </c>
      <c r="O18" s="136">
        <f t="shared" si="17"/>
        <v>0</v>
      </c>
      <c r="P18" s="136">
        <f t="shared" si="14"/>
        <v>120</v>
      </c>
      <c r="Q18" s="136">
        <f t="shared" ref="Q18:R18" si="18">SUMIF($B5:$B15,"kötelező",Q5:Q15)</f>
        <v>120</v>
      </c>
      <c r="R18" s="136">
        <f t="shared" si="18"/>
        <v>120</v>
      </c>
      <c r="S18" s="136">
        <f t="shared" si="14"/>
        <v>0</v>
      </c>
      <c r="T18" s="136">
        <f t="shared" ref="T18:U18" si="19">SUMIF($B5:$B15,"kötelező",T5:T15)</f>
        <v>80.45</v>
      </c>
      <c r="U18" s="136">
        <f t="shared" si="19"/>
        <v>80.45</v>
      </c>
      <c r="V18" s="136">
        <f t="shared" si="14"/>
        <v>0</v>
      </c>
      <c r="W18" s="136">
        <f t="shared" ref="W18:X18" si="20">SUMIF($B5:$B15,"kötelező",W5:W15)</f>
        <v>0</v>
      </c>
      <c r="X18" s="136">
        <f t="shared" si="20"/>
        <v>0</v>
      </c>
      <c r="Y18" s="136">
        <f t="shared" si="14"/>
        <v>0</v>
      </c>
      <c r="Z18" s="136">
        <f t="shared" ref="Z18:AA18" si="21">SUMIF($B5:$B15,"kötelező",Z5:Z15)</f>
        <v>0</v>
      </c>
      <c r="AA18" s="136">
        <f t="shared" si="21"/>
        <v>0</v>
      </c>
      <c r="AB18" s="136">
        <f t="shared" si="14"/>
        <v>0</v>
      </c>
      <c r="AC18" s="136">
        <f t="shared" ref="AC18:AD18" si="22">SUMIF($B5:$B15,"kötelező",AC5:AC15)</f>
        <v>0</v>
      </c>
      <c r="AD18" s="136">
        <f t="shared" si="22"/>
        <v>0</v>
      </c>
      <c r="AE18" s="136">
        <f t="shared" si="14"/>
        <v>51870</v>
      </c>
      <c r="AF18" s="136">
        <f t="shared" si="14"/>
        <v>52221</v>
      </c>
      <c r="AG18" s="136">
        <f t="shared" si="14"/>
        <v>52019</v>
      </c>
      <c r="AH18" s="136">
        <f t="shared" si="14"/>
        <v>57247.25</v>
      </c>
      <c r="AI18" s="136">
        <f t="shared" ref="AI18" si="23">SUMIF($B5:$B15,"kötelező",AI5:AI15)</f>
        <v>57247.255999999994</v>
      </c>
      <c r="AJ18" s="262">
        <f t="shared" si="2"/>
        <v>1.0000001048085279</v>
      </c>
    </row>
    <row r="19" spans="1:36" x14ac:dyDescent="0.25">
      <c r="A19" s="71">
        <v>20</v>
      </c>
      <c r="B19" s="84"/>
      <c r="C19" s="80" t="s">
        <v>239</v>
      </c>
      <c r="D19" s="136">
        <f t="shared" ref="D19:AH19" si="24">SUMIF($B5:$B16,"nem kötelező",D5:D16)</f>
        <v>49878</v>
      </c>
      <c r="E19" s="136">
        <f t="shared" ref="E19:F19" si="25">SUMIF($B5:$B16,"nem kötelező",E5:E16)</f>
        <v>53946.247000000003</v>
      </c>
      <c r="F19" s="136">
        <f t="shared" si="25"/>
        <v>53629.581000000006</v>
      </c>
      <c r="G19" s="136">
        <f t="shared" si="24"/>
        <v>9688</v>
      </c>
      <c r="H19" s="136">
        <f t="shared" ref="H19:I19" si="26">SUMIF($B5:$B16,"nem kötelező",H5:H16)</f>
        <v>10986.350999999999</v>
      </c>
      <c r="I19" s="136">
        <f t="shared" si="26"/>
        <v>10986.350999999999</v>
      </c>
      <c r="J19" s="136">
        <f t="shared" si="24"/>
        <v>32592</v>
      </c>
      <c r="K19" s="136">
        <f t="shared" ref="K19:L19" si="27">SUMIF($B5:$B16,"nem kötelező",K5:K16)</f>
        <v>27347.210000000003</v>
      </c>
      <c r="L19" s="136">
        <f t="shared" si="27"/>
        <v>27347.204000000002</v>
      </c>
      <c r="M19" s="136">
        <f t="shared" si="24"/>
        <v>0</v>
      </c>
      <c r="N19" s="136">
        <f t="shared" ref="N19:O19" si="28">SUMIF($B5:$B16,"nem kötelező",N5:N16)</f>
        <v>0</v>
      </c>
      <c r="O19" s="136">
        <f t="shared" si="28"/>
        <v>0</v>
      </c>
      <c r="P19" s="136">
        <f t="shared" si="24"/>
        <v>0</v>
      </c>
      <c r="Q19" s="136">
        <f t="shared" ref="Q19:R19" si="29">SUMIF($B5:$B16,"nem kötelező",Q5:Q16)</f>
        <v>0</v>
      </c>
      <c r="R19" s="136">
        <f t="shared" si="29"/>
        <v>0</v>
      </c>
      <c r="S19" s="136">
        <f t="shared" si="24"/>
        <v>127</v>
      </c>
      <c r="T19" s="136">
        <f t="shared" ref="T19:U19" si="30">SUMIF($B5:$B16,"nem kötelező",T5:T16)</f>
        <v>204.59</v>
      </c>
      <c r="U19" s="136">
        <f t="shared" si="30"/>
        <v>204.59</v>
      </c>
      <c r="V19" s="136">
        <f t="shared" si="24"/>
        <v>0</v>
      </c>
      <c r="W19" s="136">
        <f t="shared" ref="W19:X19" si="31">SUMIF($B5:$B16,"nem kötelező",W5:W16)</f>
        <v>0</v>
      </c>
      <c r="X19" s="136">
        <f t="shared" si="31"/>
        <v>0</v>
      </c>
      <c r="Y19" s="136">
        <f t="shared" si="24"/>
        <v>0</v>
      </c>
      <c r="Z19" s="136">
        <f t="shared" ref="Z19:AA19" si="32">SUMIF($B5:$B16,"nem kötelező",Z5:Z16)</f>
        <v>0</v>
      </c>
      <c r="AA19" s="136">
        <f t="shared" si="32"/>
        <v>0</v>
      </c>
      <c r="AB19" s="136">
        <f t="shared" si="24"/>
        <v>0</v>
      </c>
      <c r="AC19" s="136">
        <f t="shared" ref="AC19:AD19" si="33">SUMIF($B5:$B16,"nem kötelező",AC5:AC16)</f>
        <v>0</v>
      </c>
      <c r="AD19" s="136">
        <f t="shared" si="33"/>
        <v>0</v>
      </c>
      <c r="AE19" s="136">
        <f t="shared" si="24"/>
        <v>92285</v>
      </c>
      <c r="AF19" s="136">
        <f t="shared" si="24"/>
        <v>71498</v>
      </c>
      <c r="AG19" s="136">
        <f t="shared" si="24"/>
        <v>71620</v>
      </c>
      <c r="AH19" s="136">
        <f t="shared" si="24"/>
        <v>92484.398000000001</v>
      </c>
      <c r="AI19" s="136">
        <f t="shared" ref="AI19" si="34">SUMIF($B5:$B16,"nem kötelező",AI5:AI16)</f>
        <v>92167.72600000001</v>
      </c>
      <c r="AJ19" s="262">
        <f t="shared" si="2"/>
        <v>0.99657594138202654</v>
      </c>
    </row>
    <row r="20" spans="1:36" x14ac:dyDescent="0.25">
      <c r="A20" s="71">
        <v>21</v>
      </c>
      <c r="B20" s="84"/>
      <c r="C20" s="80" t="s">
        <v>299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>
        <v>31</v>
      </c>
      <c r="AF20" s="88">
        <v>30</v>
      </c>
      <c r="AG20" s="88">
        <v>30</v>
      </c>
      <c r="AH20" s="88">
        <v>31</v>
      </c>
      <c r="AI20" s="307">
        <v>31.77</v>
      </c>
      <c r="AJ20" s="263">
        <f t="shared" si="2"/>
        <v>1.0248387096774194</v>
      </c>
    </row>
    <row r="21" spans="1:36" x14ac:dyDescent="0.25">
      <c r="A21" s="71">
        <v>22</v>
      </c>
      <c r="B21" s="84"/>
      <c r="C21" s="80" t="s">
        <v>296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>
        <v>0</v>
      </c>
      <c r="AG21" s="87">
        <v>0</v>
      </c>
      <c r="AH21" s="87">
        <v>0</v>
      </c>
      <c r="AI21" s="80"/>
      <c r="AJ21" s="80"/>
    </row>
  </sheetData>
  <mergeCells count="12">
    <mergeCell ref="V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1"/>
  <sheetViews>
    <sheetView view="pageBreakPreview" topLeftCell="N1" zoomScaleNormal="100" zoomScaleSheetLayoutView="100" workbookViewId="0">
      <selection activeCell="C2" sqref="C2:AJ2"/>
    </sheetView>
  </sheetViews>
  <sheetFormatPr defaultRowHeight="15" x14ac:dyDescent="0.25"/>
  <cols>
    <col min="1" max="1" width="9.140625" style="72"/>
    <col min="2" max="2" width="14" style="89" customWidth="1"/>
    <col min="3" max="3" width="29.42578125" style="72" bestFit="1" customWidth="1"/>
    <col min="4" max="18" width="12.7109375" style="72" customWidth="1"/>
    <col min="19" max="21" width="14.42578125" style="72" customWidth="1"/>
    <col min="22" max="31" width="12.7109375" style="72" customWidth="1"/>
    <col min="32" max="32" width="0" style="72" hidden="1" customWidth="1"/>
    <col min="33" max="33" width="11.28515625" style="72" hidden="1" customWidth="1"/>
    <col min="34" max="35" width="11.28515625" style="72" bestFit="1" customWidth="1"/>
    <col min="36" max="16384" width="9.140625" style="72"/>
  </cols>
  <sheetData>
    <row r="1" spans="1:36" x14ac:dyDescent="0.25">
      <c r="V1" s="866" t="s">
        <v>1028</v>
      </c>
      <c r="W1" s="866"/>
      <c r="X1" s="866"/>
      <c r="Y1" s="866"/>
      <c r="Z1" s="866"/>
      <c r="AA1" s="866"/>
      <c r="AB1" s="866"/>
      <c r="AC1" s="866"/>
      <c r="AD1" s="866"/>
      <c r="AE1" s="866"/>
    </row>
    <row r="2" spans="1:36" ht="57" customHeight="1" x14ac:dyDescent="0.25">
      <c r="A2" s="71">
        <v>1</v>
      </c>
      <c r="B2" s="84"/>
      <c r="C2" s="867" t="s">
        <v>554</v>
      </c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</row>
    <row r="3" spans="1:36" ht="56.25" customHeight="1" x14ac:dyDescent="0.25">
      <c r="A3" s="71">
        <v>2</v>
      </c>
      <c r="B3" s="73" t="s">
        <v>255</v>
      </c>
      <c r="C3" s="74" t="s">
        <v>199</v>
      </c>
      <c r="D3" s="868" t="s">
        <v>91</v>
      </c>
      <c r="E3" s="869"/>
      <c r="F3" s="870"/>
      <c r="G3" s="868" t="s">
        <v>270</v>
      </c>
      <c r="H3" s="869"/>
      <c r="I3" s="870"/>
      <c r="J3" s="868" t="s">
        <v>93</v>
      </c>
      <c r="K3" s="869"/>
      <c r="L3" s="870"/>
      <c r="M3" s="868" t="s">
        <v>271</v>
      </c>
      <c r="N3" s="869"/>
      <c r="O3" s="870"/>
      <c r="P3" s="868" t="s">
        <v>95</v>
      </c>
      <c r="Q3" s="869"/>
      <c r="R3" s="870"/>
      <c r="S3" s="868" t="s">
        <v>109</v>
      </c>
      <c r="T3" s="869"/>
      <c r="U3" s="870"/>
      <c r="V3" s="868" t="s">
        <v>112</v>
      </c>
      <c r="W3" s="869"/>
      <c r="X3" s="870"/>
      <c r="Y3" s="868" t="s">
        <v>274</v>
      </c>
      <c r="Z3" s="869"/>
      <c r="AA3" s="870"/>
      <c r="AB3" s="868" t="s">
        <v>294</v>
      </c>
      <c r="AC3" s="869"/>
      <c r="AD3" s="870"/>
      <c r="AE3" s="877" t="s">
        <v>242</v>
      </c>
      <c r="AF3" s="877"/>
      <c r="AG3" s="877"/>
      <c r="AH3" s="877"/>
      <c r="AI3" s="877"/>
      <c r="AJ3" s="877"/>
    </row>
    <row r="4" spans="1:36" ht="30" x14ac:dyDescent="0.25">
      <c r="A4" s="71">
        <v>3</v>
      </c>
      <c r="B4" s="84"/>
      <c r="C4" s="203" t="s">
        <v>250</v>
      </c>
      <c r="D4" s="75" t="s">
        <v>402</v>
      </c>
      <c r="E4" s="102" t="s">
        <v>399</v>
      </c>
      <c r="F4" s="102" t="s">
        <v>407</v>
      </c>
      <c r="G4" s="75" t="s">
        <v>402</v>
      </c>
      <c r="H4" s="102" t="s">
        <v>399</v>
      </c>
      <c r="I4" s="102" t="s">
        <v>407</v>
      </c>
      <c r="J4" s="75" t="s">
        <v>402</v>
      </c>
      <c r="K4" s="102" t="s">
        <v>399</v>
      </c>
      <c r="L4" s="102" t="s">
        <v>407</v>
      </c>
      <c r="M4" s="75" t="s">
        <v>402</v>
      </c>
      <c r="N4" s="102" t="s">
        <v>399</v>
      </c>
      <c r="O4" s="102" t="s">
        <v>407</v>
      </c>
      <c r="P4" s="75" t="s">
        <v>402</v>
      </c>
      <c r="Q4" s="102" t="s">
        <v>399</v>
      </c>
      <c r="R4" s="102" t="s">
        <v>407</v>
      </c>
      <c r="S4" s="75" t="s">
        <v>402</v>
      </c>
      <c r="T4" s="102" t="s">
        <v>399</v>
      </c>
      <c r="U4" s="102" t="s">
        <v>407</v>
      </c>
      <c r="V4" s="75" t="s">
        <v>402</v>
      </c>
      <c r="W4" s="102" t="s">
        <v>399</v>
      </c>
      <c r="X4" s="102" t="s">
        <v>407</v>
      </c>
      <c r="Y4" s="75" t="s">
        <v>402</v>
      </c>
      <c r="Z4" s="102" t="s">
        <v>399</v>
      </c>
      <c r="AA4" s="102" t="s">
        <v>407</v>
      </c>
      <c r="AB4" s="75" t="s">
        <v>402</v>
      </c>
      <c r="AC4" s="102" t="s">
        <v>399</v>
      </c>
      <c r="AD4" s="102" t="s">
        <v>407</v>
      </c>
      <c r="AE4" s="266" t="s">
        <v>402</v>
      </c>
      <c r="AF4" s="232" t="s">
        <v>399</v>
      </c>
      <c r="AG4" s="266" t="s">
        <v>402</v>
      </c>
      <c r="AH4" s="232" t="s">
        <v>399</v>
      </c>
      <c r="AI4" s="232" t="s">
        <v>407</v>
      </c>
      <c r="AJ4" s="102" t="s">
        <v>408</v>
      </c>
    </row>
    <row r="5" spans="1:36" x14ac:dyDescent="0.25">
      <c r="A5" s="71">
        <v>4</v>
      </c>
      <c r="B5" s="90" t="s">
        <v>207</v>
      </c>
      <c r="C5" s="85" t="s">
        <v>266</v>
      </c>
      <c r="D5" s="133">
        <v>76101</v>
      </c>
      <c r="E5" s="133">
        <v>75515.672000000006</v>
      </c>
      <c r="F5" s="133">
        <v>75515.672000000006</v>
      </c>
      <c r="G5" s="133">
        <v>14932</v>
      </c>
      <c r="H5" s="133">
        <v>15250.419</v>
      </c>
      <c r="I5" s="133">
        <v>15250.419</v>
      </c>
      <c r="J5" s="133">
        <v>6238</v>
      </c>
      <c r="K5" s="133">
        <v>5114.0259999999998</v>
      </c>
      <c r="L5" s="133">
        <v>5114.0259999999998</v>
      </c>
      <c r="M5" s="133"/>
      <c r="N5" s="133"/>
      <c r="O5" s="133"/>
      <c r="P5" s="133">
        <v>127</v>
      </c>
      <c r="Q5" s="133">
        <v>1222.5450000000001</v>
      </c>
      <c r="R5" s="133">
        <v>1222.5450000000001</v>
      </c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5">
        <f>D5+G5+J5+M5+P5+S5+V5+Y5</f>
        <v>97398</v>
      </c>
      <c r="AF5" s="135">
        <f>E5+H5+K5+N5+Q5+T5+W5+Z5</f>
        <v>97102.661999999997</v>
      </c>
      <c r="AG5" s="135">
        <f t="shared" ref="AG5:AG6" si="0">G5+J5+M5+P5+S5+V5+Y5+AB5</f>
        <v>21297</v>
      </c>
      <c r="AH5" s="135">
        <f>E5+H5+K5+N5+Q5+T5+W5+Z5</f>
        <v>97102.661999999997</v>
      </c>
      <c r="AI5" s="135">
        <f>F5+I5+L5+O5+R5+U5+X5+AA5</f>
        <v>97102.661999999997</v>
      </c>
      <c r="AJ5" s="263">
        <f>AI5/AH5</f>
        <v>1</v>
      </c>
    </row>
    <row r="6" spans="1:36" ht="25.5" x14ac:dyDescent="0.25">
      <c r="A6" s="71">
        <v>5</v>
      </c>
      <c r="B6" s="90" t="s">
        <v>213</v>
      </c>
      <c r="C6" s="267" t="s">
        <v>300</v>
      </c>
      <c r="D6" s="133">
        <v>125</v>
      </c>
      <c r="E6" s="133">
        <v>125</v>
      </c>
      <c r="F6" s="133">
        <v>125</v>
      </c>
      <c r="G6" s="133">
        <v>20</v>
      </c>
      <c r="H6" s="133">
        <v>24.375</v>
      </c>
      <c r="I6" s="133">
        <v>24.375</v>
      </c>
      <c r="J6" s="133">
        <v>25</v>
      </c>
      <c r="K6" s="133">
        <v>25.286000000000001</v>
      </c>
      <c r="L6" s="133">
        <v>25.286000000000001</v>
      </c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5">
        <f>D6+G6+J6+M6+P6+S6+V6+Y6</f>
        <v>170</v>
      </c>
      <c r="AF6" s="135">
        <f>E6+H6+K6+N6+Q6+T6+W6+Z6</f>
        <v>174.661</v>
      </c>
      <c r="AG6" s="135">
        <f t="shared" si="0"/>
        <v>45</v>
      </c>
      <c r="AH6" s="135">
        <f>E6+H6+K6+N6+Q6+T6+W6+Z6</f>
        <v>174.661</v>
      </c>
      <c r="AI6" s="135">
        <f>F6+I6+L6+O6+R6+U6+X6+AA6</f>
        <v>174.661</v>
      </c>
      <c r="AJ6" s="501">
        <f t="shared" ref="AJ6:AJ10" si="1">AI6/AH6</f>
        <v>1</v>
      </c>
    </row>
    <row r="7" spans="1:36" x14ac:dyDescent="0.25">
      <c r="A7" s="71">
        <v>6</v>
      </c>
      <c r="B7" s="90"/>
      <c r="C7" s="226" t="s">
        <v>253</v>
      </c>
      <c r="D7" s="135">
        <f t="shared" ref="D7:AE7" si="2">SUM(D5:D6)</f>
        <v>76226</v>
      </c>
      <c r="E7" s="135">
        <f t="shared" si="2"/>
        <v>75640.672000000006</v>
      </c>
      <c r="F7" s="486">
        <f t="shared" si="2"/>
        <v>75640.672000000006</v>
      </c>
      <c r="G7" s="135">
        <f t="shared" si="2"/>
        <v>14952</v>
      </c>
      <c r="H7" s="135">
        <f t="shared" si="2"/>
        <v>15274.794</v>
      </c>
      <c r="I7" s="486">
        <f t="shared" ref="I7" si="3">SUM(I5:I6)</f>
        <v>15274.794</v>
      </c>
      <c r="J7" s="135">
        <f t="shared" si="2"/>
        <v>6263</v>
      </c>
      <c r="K7" s="135">
        <f t="shared" ref="K7:L7" si="4">SUM(K5:K6)</f>
        <v>5139.3119999999999</v>
      </c>
      <c r="L7" s="486">
        <f t="shared" si="4"/>
        <v>5139.3119999999999</v>
      </c>
      <c r="M7" s="135">
        <f t="shared" si="2"/>
        <v>0</v>
      </c>
      <c r="N7" s="135">
        <f t="shared" ref="N7:O7" si="5">SUM(N5:N6)</f>
        <v>0</v>
      </c>
      <c r="O7" s="135">
        <f t="shared" si="5"/>
        <v>0</v>
      </c>
      <c r="P7" s="135">
        <f t="shared" si="2"/>
        <v>127</v>
      </c>
      <c r="Q7" s="135">
        <f t="shared" ref="Q7:R7" si="6">SUM(Q5:Q6)</f>
        <v>1222.5450000000001</v>
      </c>
      <c r="R7" s="135">
        <f t="shared" si="6"/>
        <v>1222.5450000000001</v>
      </c>
      <c r="S7" s="135">
        <f t="shared" si="2"/>
        <v>0</v>
      </c>
      <c r="T7" s="135">
        <f t="shared" ref="T7:U7" si="7">SUM(T5:T6)</f>
        <v>0</v>
      </c>
      <c r="U7" s="135">
        <f t="shared" si="7"/>
        <v>0</v>
      </c>
      <c r="V7" s="135">
        <f t="shared" si="2"/>
        <v>0</v>
      </c>
      <c r="W7" s="135">
        <f t="shared" ref="W7:X7" si="8">SUM(W5:W6)</f>
        <v>0</v>
      </c>
      <c r="X7" s="135">
        <f t="shared" si="8"/>
        <v>0</v>
      </c>
      <c r="Y7" s="135">
        <f t="shared" si="2"/>
        <v>0</v>
      </c>
      <c r="Z7" s="135">
        <f t="shared" ref="Z7:AA7" si="9">SUM(Z5:Z6)</f>
        <v>0</v>
      </c>
      <c r="AA7" s="135">
        <f t="shared" si="9"/>
        <v>0</v>
      </c>
      <c r="AB7" s="135">
        <f t="shared" si="2"/>
        <v>0</v>
      </c>
      <c r="AC7" s="135">
        <f t="shared" ref="AC7:AD7" si="10">SUM(AC5:AC6)</f>
        <v>0</v>
      </c>
      <c r="AD7" s="135">
        <f t="shared" si="10"/>
        <v>0</v>
      </c>
      <c r="AE7" s="135">
        <f t="shared" si="2"/>
        <v>97568</v>
      </c>
      <c r="AF7" s="135">
        <f t="shared" ref="AF7:AH7" si="11">SUM(AF5:AF6)</f>
        <v>97277.322999999989</v>
      </c>
      <c r="AG7" s="135">
        <f t="shared" si="11"/>
        <v>21342</v>
      </c>
      <c r="AH7" s="135">
        <f t="shared" si="11"/>
        <v>97277.322999999989</v>
      </c>
      <c r="AI7" s="486">
        <f t="shared" ref="AI7" si="12">SUM(AI5:AI6)</f>
        <v>97277.322999999989</v>
      </c>
      <c r="AJ7" s="263">
        <f t="shared" si="1"/>
        <v>1</v>
      </c>
    </row>
    <row r="8" spans="1:36" x14ac:dyDescent="0.25">
      <c r="A8" s="71">
        <v>7</v>
      </c>
      <c r="B8" s="90"/>
      <c r="C8" s="81" t="s">
        <v>238</v>
      </c>
      <c r="D8" s="136">
        <f t="shared" ref="D8:AE8" si="13">SUMIF($B5:$B6,"kötelező",D5:D6)</f>
        <v>76101</v>
      </c>
      <c r="E8" s="136">
        <f t="shared" si="13"/>
        <v>75515.672000000006</v>
      </c>
      <c r="F8" s="136">
        <f t="shared" ref="F8" si="14">SUMIF($B5:$B6,"kötelező",F5:F6)</f>
        <v>75515.672000000006</v>
      </c>
      <c r="G8" s="136">
        <f t="shared" si="13"/>
        <v>14932</v>
      </c>
      <c r="H8" s="136">
        <f t="shared" si="13"/>
        <v>15250.419</v>
      </c>
      <c r="I8" s="136">
        <f t="shared" ref="I8" si="15">SUMIF($B5:$B6,"kötelező",I5:I6)</f>
        <v>15250.419</v>
      </c>
      <c r="J8" s="136">
        <f t="shared" si="13"/>
        <v>6238</v>
      </c>
      <c r="K8" s="136">
        <f t="shared" ref="K8:L8" si="16">SUMIF($B5:$B6,"kötelező",K5:K6)</f>
        <v>5114.0259999999998</v>
      </c>
      <c r="L8" s="136">
        <f t="shared" si="16"/>
        <v>5114.0259999999998</v>
      </c>
      <c r="M8" s="136">
        <f t="shared" si="13"/>
        <v>0</v>
      </c>
      <c r="N8" s="136">
        <f t="shared" ref="N8:O8" si="17">SUMIF($B5:$B6,"kötelező",N5:N6)</f>
        <v>0</v>
      </c>
      <c r="O8" s="136">
        <f t="shared" si="17"/>
        <v>0</v>
      </c>
      <c r="P8" s="136">
        <f t="shared" si="13"/>
        <v>127</v>
      </c>
      <c r="Q8" s="136">
        <f t="shared" ref="Q8:R8" si="18">SUMIF($B5:$B6,"kötelező",Q5:Q6)</f>
        <v>1222.5450000000001</v>
      </c>
      <c r="R8" s="136">
        <f t="shared" si="18"/>
        <v>1222.5450000000001</v>
      </c>
      <c r="S8" s="136">
        <f t="shared" si="13"/>
        <v>0</v>
      </c>
      <c r="T8" s="136">
        <f t="shared" ref="T8:U8" si="19">SUMIF($B5:$B6,"kötelező",T5:T6)</f>
        <v>0</v>
      </c>
      <c r="U8" s="136">
        <f t="shared" si="19"/>
        <v>0</v>
      </c>
      <c r="V8" s="136">
        <f t="shared" si="13"/>
        <v>0</v>
      </c>
      <c r="W8" s="136">
        <f t="shared" ref="W8:X8" si="20">SUMIF($B5:$B6,"kötelező",W5:W6)</f>
        <v>0</v>
      </c>
      <c r="X8" s="136">
        <f t="shared" si="20"/>
        <v>0</v>
      </c>
      <c r="Y8" s="136">
        <f t="shared" si="13"/>
        <v>0</v>
      </c>
      <c r="Z8" s="136">
        <f t="shared" ref="Z8:AA8" si="21">SUMIF($B5:$B6,"kötelező",Z5:Z6)</f>
        <v>0</v>
      </c>
      <c r="AA8" s="136">
        <f t="shared" si="21"/>
        <v>0</v>
      </c>
      <c r="AB8" s="136">
        <f t="shared" si="13"/>
        <v>0</v>
      </c>
      <c r="AC8" s="136">
        <f t="shared" ref="AC8:AD8" si="22">SUMIF($B5:$B6,"kötelező",AC5:AC6)</f>
        <v>0</v>
      </c>
      <c r="AD8" s="136">
        <f t="shared" si="22"/>
        <v>0</v>
      </c>
      <c r="AE8" s="136">
        <f t="shared" si="13"/>
        <v>97398</v>
      </c>
      <c r="AF8" s="136">
        <f t="shared" ref="AF8:AH8" si="23">SUMIF($B5:$B6,"kötelező",AF5:AF6)</f>
        <v>97102.661999999997</v>
      </c>
      <c r="AG8" s="136">
        <f t="shared" si="23"/>
        <v>21297</v>
      </c>
      <c r="AH8" s="136">
        <f t="shared" si="23"/>
        <v>97102.661999999997</v>
      </c>
      <c r="AI8" s="136">
        <f t="shared" ref="AI8" si="24">SUMIF($B5:$B6,"kötelező",AI5:AI6)</f>
        <v>97102.661999999997</v>
      </c>
      <c r="AJ8" s="262">
        <f t="shared" si="1"/>
        <v>1</v>
      </c>
    </row>
    <row r="9" spans="1:36" x14ac:dyDescent="0.25">
      <c r="A9" s="71">
        <v>8</v>
      </c>
      <c r="B9" s="90"/>
      <c r="C9" s="81" t="s">
        <v>239</v>
      </c>
      <c r="D9" s="136">
        <f t="shared" ref="D9:AE9" si="25">SUMIF($B5:$B6,"nem kötelező",D5:D6)</f>
        <v>125</v>
      </c>
      <c r="E9" s="136">
        <f t="shared" si="25"/>
        <v>125</v>
      </c>
      <c r="F9" s="136">
        <f t="shared" ref="F9" si="26">SUMIF($B5:$B6,"nem kötelező",F5:F6)</f>
        <v>125</v>
      </c>
      <c r="G9" s="136">
        <f t="shared" si="25"/>
        <v>20</v>
      </c>
      <c r="H9" s="136">
        <f t="shared" si="25"/>
        <v>24.375</v>
      </c>
      <c r="I9" s="136">
        <f t="shared" ref="I9" si="27">SUMIF($B5:$B6,"nem kötelező",I5:I6)</f>
        <v>24.375</v>
      </c>
      <c r="J9" s="136">
        <f t="shared" si="25"/>
        <v>25</v>
      </c>
      <c r="K9" s="136">
        <f t="shared" ref="K9:L9" si="28">SUMIF($B5:$B6,"nem kötelező",K5:K6)</f>
        <v>25.286000000000001</v>
      </c>
      <c r="L9" s="136">
        <f t="shared" si="28"/>
        <v>25.286000000000001</v>
      </c>
      <c r="M9" s="136">
        <f t="shared" si="25"/>
        <v>0</v>
      </c>
      <c r="N9" s="136">
        <f t="shared" ref="N9:O9" si="29">SUMIF($B5:$B6,"nem kötelező",N5:N6)</f>
        <v>0</v>
      </c>
      <c r="O9" s="136">
        <f t="shared" si="29"/>
        <v>0</v>
      </c>
      <c r="P9" s="136">
        <f t="shared" si="25"/>
        <v>0</v>
      </c>
      <c r="Q9" s="136">
        <f t="shared" ref="Q9:R9" si="30">SUMIF($B5:$B6,"nem kötelező",Q5:Q6)</f>
        <v>0</v>
      </c>
      <c r="R9" s="136">
        <f t="shared" si="30"/>
        <v>0</v>
      </c>
      <c r="S9" s="136">
        <f t="shared" si="25"/>
        <v>0</v>
      </c>
      <c r="T9" s="136">
        <f t="shared" ref="T9:U9" si="31">SUMIF($B5:$B6,"nem kötelező",T5:T6)</f>
        <v>0</v>
      </c>
      <c r="U9" s="136">
        <f t="shared" si="31"/>
        <v>0</v>
      </c>
      <c r="V9" s="136">
        <f t="shared" si="25"/>
        <v>0</v>
      </c>
      <c r="W9" s="136">
        <f t="shared" ref="W9:X9" si="32">SUMIF($B5:$B6,"nem kötelező",W5:W6)</f>
        <v>0</v>
      </c>
      <c r="X9" s="136">
        <f t="shared" si="32"/>
        <v>0</v>
      </c>
      <c r="Y9" s="136">
        <f t="shared" si="25"/>
        <v>0</v>
      </c>
      <c r="Z9" s="136">
        <f t="shared" ref="Z9:AA9" si="33">SUMIF($B5:$B6,"nem kötelező",Z5:Z6)</f>
        <v>0</v>
      </c>
      <c r="AA9" s="136">
        <f t="shared" si="33"/>
        <v>0</v>
      </c>
      <c r="AB9" s="136">
        <f t="shared" si="25"/>
        <v>0</v>
      </c>
      <c r="AC9" s="136">
        <f t="shared" ref="AC9:AD9" si="34">SUMIF($B5:$B6,"nem kötelező",AC5:AC6)</f>
        <v>0</v>
      </c>
      <c r="AD9" s="136">
        <f t="shared" si="34"/>
        <v>0</v>
      </c>
      <c r="AE9" s="136">
        <f t="shared" si="25"/>
        <v>170</v>
      </c>
      <c r="AF9" s="136">
        <f t="shared" ref="AF9:AH9" si="35">SUMIF($B5:$B6,"nem kötelező",AF5:AF6)</f>
        <v>174.661</v>
      </c>
      <c r="AG9" s="136">
        <f t="shared" si="35"/>
        <v>45</v>
      </c>
      <c r="AH9" s="136">
        <f t="shared" si="35"/>
        <v>174.661</v>
      </c>
      <c r="AI9" s="136">
        <f t="shared" ref="AI9" si="36">SUMIF($B5:$B6,"nem kötelező",AI5:AI6)</f>
        <v>174.661</v>
      </c>
      <c r="AJ9" s="262">
        <f t="shared" si="1"/>
        <v>1</v>
      </c>
    </row>
    <row r="10" spans="1:36" x14ac:dyDescent="0.25">
      <c r="A10" s="71">
        <v>9</v>
      </c>
      <c r="B10" s="90"/>
      <c r="C10" s="91" t="s">
        <v>301</v>
      </c>
      <c r="D10" s="86"/>
      <c r="E10" s="86"/>
      <c r="F10" s="86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>
        <v>23</v>
      </c>
      <c r="AF10" s="93">
        <v>23</v>
      </c>
      <c r="AG10" s="93">
        <v>23</v>
      </c>
      <c r="AH10" s="93">
        <v>23</v>
      </c>
      <c r="AI10" s="307">
        <v>22.97</v>
      </c>
      <c r="AJ10" s="263">
        <f t="shared" si="1"/>
        <v>0.99869565217391298</v>
      </c>
    </row>
    <row r="11" spans="1:36" x14ac:dyDescent="0.25">
      <c r="A11" s="71">
        <v>10</v>
      </c>
      <c r="B11" s="90"/>
      <c r="C11" s="81" t="s">
        <v>296</v>
      </c>
      <c r="D11" s="86"/>
      <c r="E11" s="86"/>
      <c r="F11" s="86"/>
      <c r="G11" s="92"/>
      <c r="H11" s="92"/>
      <c r="I11" s="92"/>
      <c r="J11" s="86"/>
      <c r="K11" s="86"/>
      <c r="L11" s="86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80"/>
    </row>
  </sheetData>
  <mergeCells count="12">
    <mergeCell ref="V1:AE1"/>
    <mergeCell ref="D3:F3"/>
    <mergeCell ref="G3:I3"/>
    <mergeCell ref="J3:L3"/>
    <mergeCell ref="M3:O3"/>
    <mergeCell ref="AE3:AJ3"/>
    <mergeCell ref="C2:AJ2"/>
    <mergeCell ref="P3:R3"/>
    <mergeCell ref="S3:U3"/>
    <mergeCell ref="V3:X3"/>
    <mergeCell ref="Y3:AA3"/>
    <mergeCell ref="AB3:AD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7"/>
  <sheetViews>
    <sheetView view="pageBreakPreview" zoomScaleNormal="100" zoomScaleSheetLayoutView="100" workbookViewId="0">
      <pane xSplit="3" ySplit="4" topLeftCell="R5" activePane="bottomRight" state="frozen"/>
      <selection pane="topRight" activeCell="D1" sqref="D1"/>
      <selection pane="bottomLeft" activeCell="A5" sqref="A5"/>
      <selection pane="bottomRight" activeCell="C2" sqref="C2:AJ2"/>
    </sheetView>
  </sheetViews>
  <sheetFormatPr defaultRowHeight="15" x14ac:dyDescent="0.25"/>
  <cols>
    <col min="1" max="1" width="5.5703125" style="72" customWidth="1"/>
    <col min="2" max="2" width="14" style="89" customWidth="1"/>
    <col min="3" max="3" width="29.28515625" style="72" customWidth="1"/>
    <col min="4" max="18" width="12.28515625" style="72" customWidth="1"/>
    <col min="19" max="21" width="14.28515625" style="72" customWidth="1"/>
    <col min="22" max="31" width="12.28515625" style="72" customWidth="1"/>
    <col min="32" max="32" width="11.85546875" style="83" hidden="1" customWidth="1"/>
    <col min="33" max="33" width="12" style="72" hidden="1" customWidth="1"/>
    <col min="34" max="35" width="11.28515625" style="72" bestFit="1" customWidth="1"/>
    <col min="36" max="16384" width="9.140625" style="72"/>
  </cols>
  <sheetData>
    <row r="1" spans="1:36" x14ac:dyDescent="0.25">
      <c r="V1" s="866" t="s">
        <v>1029</v>
      </c>
      <c r="W1" s="866"/>
      <c r="X1" s="866"/>
      <c r="Y1" s="866"/>
      <c r="Z1" s="866"/>
      <c r="AA1" s="866"/>
      <c r="AB1" s="866"/>
      <c r="AC1" s="866"/>
      <c r="AD1" s="866"/>
      <c r="AE1" s="866"/>
    </row>
    <row r="2" spans="1:36" ht="56.25" customHeight="1" x14ac:dyDescent="0.25">
      <c r="A2" s="71">
        <v>1</v>
      </c>
      <c r="B2" s="84"/>
      <c r="C2" s="867" t="s">
        <v>555</v>
      </c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</row>
    <row r="3" spans="1:36" ht="93" customHeight="1" x14ac:dyDescent="0.25">
      <c r="A3" s="71">
        <v>2</v>
      </c>
      <c r="B3" s="73" t="s">
        <v>255</v>
      </c>
      <c r="C3" s="233" t="s">
        <v>199</v>
      </c>
      <c r="D3" s="868" t="s">
        <v>91</v>
      </c>
      <c r="E3" s="869"/>
      <c r="F3" s="870"/>
      <c r="G3" s="868" t="s">
        <v>270</v>
      </c>
      <c r="H3" s="869"/>
      <c r="I3" s="870"/>
      <c r="J3" s="868" t="s">
        <v>93</v>
      </c>
      <c r="K3" s="869"/>
      <c r="L3" s="870"/>
      <c r="M3" s="868" t="s">
        <v>271</v>
      </c>
      <c r="N3" s="869"/>
      <c r="O3" s="870"/>
      <c r="P3" s="868" t="s">
        <v>310</v>
      </c>
      <c r="Q3" s="869"/>
      <c r="R3" s="870"/>
      <c r="S3" s="868" t="s">
        <v>109</v>
      </c>
      <c r="T3" s="869"/>
      <c r="U3" s="870"/>
      <c r="V3" s="868" t="s">
        <v>112</v>
      </c>
      <c r="W3" s="869"/>
      <c r="X3" s="870"/>
      <c r="Y3" s="868" t="s">
        <v>274</v>
      </c>
      <c r="Z3" s="869"/>
      <c r="AA3" s="870"/>
      <c r="AB3" s="868" t="s">
        <v>294</v>
      </c>
      <c r="AC3" s="869"/>
      <c r="AD3" s="870"/>
      <c r="AE3" s="874" t="s">
        <v>242</v>
      </c>
      <c r="AF3" s="875"/>
      <c r="AG3" s="875"/>
      <c r="AH3" s="875"/>
      <c r="AI3" s="875"/>
      <c r="AJ3" s="876"/>
    </row>
    <row r="4" spans="1:36" ht="30" x14ac:dyDescent="0.25">
      <c r="A4" s="71">
        <v>3</v>
      </c>
      <c r="B4" s="84"/>
      <c r="C4" s="203" t="s">
        <v>250</v>
      </c>
      <c r="D4" s="75" t="s">
        <v>412</v>
      </c>
      <c r="E4" s="102" t="s">
        <v>399</v>
      </c>
      <c r="F4" s="102" t="s">
        <v>407</v>
      </c>
      <c r="G4" s="75" t="s">
        <v>412</v>
      </c>
      <c r="H4" s="102" t="s">
        <v>399</v>
      </c>
      <c r="I4" s="102" t="s">
        <v>407</v>
      </c>
      <c r="J4" s="75" t="s">
        <v>412</v>
      </c>
      <c r="K4" s="102" t="s">
        <v>399</v>
      </c>
      <c r="L4" s="102" t="s">
        <v>407</v>
      </c>
      <c r="M4" s="75" t="s">
        <v>412</v>
      </c>
      <c r="N4" s="102" t="s">
        <v>399</v>
      </c>
      <c r="O4" s="102" t="s">
        <v>407</v>
      </c>
      <c r="P4" s="75" t="s">
        <v>412</v>
      </c>
      <c r="Q4" s="102" t="s">
        <v>399</v>
      </c>
      <c r="R4" s="102" t="s">
        <v>407</v>
      </c>
      <c r="S4" s="75" t="s">
        <v>412</v>
      </c>
      <c r="T4" s="102" t="s">
        <v>399</v>
      </c>
      <c r="U4" s="102" t="s">
        <v>407</v>
      </c>
      <c r="V4" s="75" t="s">
        <v>412</v>
      </c>
      <c r="W4" s="102" t="s">
        <v>399</v>
      </c>
      <c r="X4" s="102" t="s">
        <v>407</v>
      </c>
      <c r="Y4" s="75" t="s">
        <v>412</v>
      </c>
      <c r="Z4" s="102" t="s">
        <v>399</v>
      </c>
      <c r="AA4" s="102" t="s">
        <v>407</v>
      </c>
      <c r="AB4" s="75" t="s">
        <v>412</v>
      </c>
      <c r="AC4" s="102" t="s">
        <v>399</v>
      </c>
      <c r="AD4" s="102" t="s">
        <v>407</v>
      </c>
      <c r="AE4" s="75" t="s">
        <v>412</v>
      </c>
      <c r="AF4" s="51" t="s">
        <v>251</v>
      </c>
      <c r="AG4" s="202" t="s">
        <v>297</v>
      </c>
      <c r="AH4" s="102" t="s">
        <v>399</v>
      </c>
      <c r="AI4" s="102" t="s">
        <v>407</v>
      </c>
      <c r="AJ4" s="102" t="s">
        <v>408</v>
      </c>
    </row>
    <row r="5" spans="1:36" x14ac:dyDescent="0.25">
      <c r="A5" s="71">
        <v>4</v>
      </c>
      <c r="B5" s="84" t="s">
        <v>207</v>
      </c>
      <c r="C5" s="85" t="s">
        <v>344</v>
      </c>
      <c r="D5" s="133">
        <v>9919</v>
      </c>
      <c r="E5" s="133">
        <v>10444.851000000001</v>
      </c>
      <c r="F5" s="133">
        <v>10444.851000000001</v>
      </c>
      <c r="G5" s="133">
        <v>1784</v>
      </c>
      <c r="H5" s="133">
        <v>1837.8009999999999</v>
      </c>
      <c r="I5" s="133">
        <v>1837.8009999999999</v>
      </c>
      <c r="J5" s="133">
        <v>4268</v>
      </c>
      <c r="K5" s="133">
        <v>3831.7919999999999</v>
      </c>
      <c r="L5" s="133">
        <v>3831.7919999999999</v>
      </c>
      <c r="M5" s="133"/>
      <c r="N5" s="133"/>
      <c r="O5" s="133"/>
      <c r="P5" s="133"/>
      <c r="Q5" s="133"/>
      <c r="R5" s="133"/>
      <c r="S5" s="133">
        <v>127</v>
      </c>
      <c r="T5" s="133">
        <v>138.614</v>
      </c>
      <c r="U5" s="133">
        <v>138.614</v>
      </c>
      <c r="V5" s="133"/>
      <c r="W5" s="133"/>
      <c r="X5" s="133"/>
      <c r="Y5" s="133"/>
      <c r="Z5" s="133"/>
      <c r="AA5" s="133"/>
      <c r="AB5" s="133"/>
      <c r="AC5" s="133"/>
      <c r="AD5" s="133"/>
      <c r="AE5" s="135">
        <f>AB5+Y5+V5+S5+P5+M5+J5+G5+D5</f>
        <v>16098</v>
      </c>
      <c r="AF5" s="135">
        <f>AC5+Z5+W5+T5+Q5+N5+K5+H5+E5</f>
        <v>16253.058000000001</v>
      </c>
      <c r="AG5" s="135">
        <f t="shared" ref="AG5" si="0">AE5+AB5+Y5+V5+S5+P5+M5+J5+G5</f>
        <v>22277</v>
      </c>
      <c r="AH5" s="135">
        <f>E5+H5+K5+N5+Q5+T5+W5+Z5+AC5</f>
        <v>16253.057999999999</v>
      </c>
      <c r="AI5" s="123">
        <f>F5+I5+L5+O5+R5+U5+X5+AA5+AD5</f>
        <v>16253.057999999999</v>
      </c>
      <c r="AJ5" s="263">
        <f>AI5/AH5</f>
        <v>1</v>
      </c>
    </row>
    <row r="6" spans="1:36" x14ac:dyDescent="0.25">
      <c r="A6" s="71">
        <v>6</v>
      </c>
      <c r="B6" s="84" t="s">
        <v>213</v>
      </c>
      <c r="C6" s="85" t="s">
        <v>345</v>
      </c>
      <c r="D6" s="133"/>
      <c r="E6" s="133"/>
      <c r="F6" s="133"/>
      <c r="G6" s="133"/>
      <c r="H6" s="133"/>
      <c r="I6" s="133"/>
      <c r="J6" s="133">
        <v>75</v>
      </c>
      <c r="K6" s="133">
        <v>66.802000000000007</v>
      </c>
      <c r="L6" s="133">
        <v>66.802000000000007</v>
      </c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5">
        <f t="shared" ref="AE6:AE12" si="1">AB6+Y6+V6+S6+P6+M6+J6+G6+D6</f>
        <v>75</v>
      </c>
      <c r="AF6" s="87">
        <v>173</v>
      </c>
      <c r="AG6" s="185">
        <v>211</v>
      </c>
      <c r="AH6" s="135">
        <f t="shared" ref="AH6:AI12" si="2">E6+H6+K6+N6+Q6+T6+W6+Z6+AC6</f>
        <v>66.802000000000007</v>
      </c>
      <c r="AI6" s="123">
        <f t="shared" si="2"/>
        <v>66.802000000000007</v>
      </c>
      <c r="AJ6" s="263">
        <f t="shared" ref="AJ6:AJ16" si="3">AI6/AH6</f>
        <v>1</v>
      </c>
    </row>
    <row r="7" spans="1:36" x14ac:dyDescent="0.25">
      <c r="A7" s="71">
        <v>7</v>
      </c>
      <c r="B7" s="84" t="s">
        <v>213</v>
      </c>
      <c r="C7" s="85" t="s">
        <v>346</v>
      </c>
      <c r="D7" s="133"/>
      <c r="E7" s="133"/>
      <c r="F7" s="133"/>
      <c r="G7" s="133"/>
      <c r="H7" s="133"/>
      <c r="I7" s="133"/>
      <c r="J7" s="133">
        <v>1028</v>
      </c>
      <c r="K7" s="133">
        <v>1051.848</v>
      </c>
      <c r="L7" s="133">
        <v>1051.848</v>
      </c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5">
        <f t="shared" si="1"/>
        <v>1028</v>
      </c>
      <c r="AF7" s="87">
        <v>3044</v>
      </c>
      <c r="AG7" s="185">
        <v>2528</v>
      </c>
      <c r="AH7" s="135">
        <f t="shared" si="2"/>
        <v>1051.848</v>
      </c>
      <c r="AI7" s="135">
        <f t="shared" si="2"/>
        <v>1051.848</v>
      </c>
      <c r="AJ7" s="263">
        <f t="shared" si="3"/>
        <v>1</v>
      </c>
    </row>
    <row r="8" spans="1:36" x14ac:dyDescent="0.25">
      <c r="A8" s="71">
        <v>8</v>
      </c>
      <c r="B8" s="84" t="s">
        <v>213</v>
      </c>
      <c r="C8" s="85" t="s">
        <v>347</v>
      </c>
      <c r="D8" s="133">
        <v>1389</v>
      </c>
      <c r="E8" s="133">
        <v>891.73599999999999</v>
      </c>
      <c r="F8" s="133">
        <v>891.73599999999999</v>
      </c>
      <c r="G8" s="133">
        <v>527</v>
      </c>
      <c r="H8" s="133">
        <v>391.94799999999998</v>
      </c>
      <c r="I8" s="133">
        <v>391.94799999999998</v>
      </c>
      <c r="J8" s="133">
        <v>774</v>
      </c>
      <c r="K8" s="133">
        <v>708.87199999999996</v>
      </c>
      <c r="L8" s="133">
        <v>708.87199999999996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5">
        <f t="shared" si="1"/>
        <v>2690</v>
      </c>
      <c r="AF8" s="87">
        <v>6614</v>
      </c>
      <c r="AG8" s="185">
        <v>6801</v>
      </c>
      <c r="AH8" s="135">
        <f t="shared" si="2"/>
        <v>1992.556</v>
      </c>
      <c r="AI8" s="135">
        <f t="shared" si="2"/>
        <v>1992.556</v>
      </c>
      <c r="AJ8" s="263">
        <f t="shared" si="3"/>
        <v>1</v>
      </c>
    </row>
    <row r="9" spans="1:36" x14ac:dyDescent="0.25">
      <c r="A9" s="71">
        <v>9</v>
      </c>
      <c r="B9" s="84" t="s">
        <v>213</v>
      </c>
      <c r="C9" s="85" t="s">
        <v>431</v>
      </c>
      <c r="D9" s="133">
        <v>74</v>
      </c>
      <c r="E9" s="133">
        <v>21.210999999999999</v>
      </c>
      <c r="F9" s="133">
        <v>21.210999999999999</v>
      </c>
      <c r="G9" s="133"/>
      <c r="H9" s="133"/>
      <c r="I9" s="133"/>
      <c r="J9" s="133">
        <v>140</v>
      </c>
      <c r="K9" s="133">
        <v>210.54400000000001</v>
      </c>
      <c r="L9" s="133">
        <v>210.54400000000001</v>
      </c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5">
        <f t="shared" si="1"/>
        <v>214</v>
      </c>
      <c r="AF9" s="87">
        <v>480</v>
      </c>
      <c r="AG9" s="185">
        <v>480</v>
      </c>
      <c r="AH9" s="135">
        <f t="shared" si="2"/>
        <v>231.755</v>
      </c>
      <c r="AI9" s="135">
        <f t="shared" si="2"/>
        <v>231.755</v>
      </c>
      <c r="AJ9" s="263">
        <f t="shared" si="3"/>
        <v>1</v>
      </c>
    </row>
    <row r="10" spans="1:36" x14ac:dyDescent="0.25">
      <c r="A10" s="71"/>
      <c r="B10" s="84" t="s">
        <v>213</v>
      </c>
      <c r="C10" s="85" t="s">
        <v>432</v>
      </c>
      <c r="D10" s="133"/>
      <c r="E10" s="133"/>
      <c r="F10" s="133"/>
      <c r="G10" s="133"/>
      <c r="H10" s="133"/>
      <c r="I10" s="133"/>
      <c r="J10" s="133">
        <v>15158</v>
      </c>
      <c r="K10" s="133">
        <v>15157.993</v>
      </c>
      <c r="L10" s="133">
        <v>5178.9830000000002</v>
      </c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5">
        <f t="shared" si="1"/>
        <v>15158</v>
      </c>
      <c r="AF10" s="87"/>
      <c r="AG10" s="185"/>
      <c r="AH10" s="135">
        <f t="shared" si="2"/>
        <v>15157.993</v>
      </c>
      <c r="AI10" s="135">
        <f t="shared" si="2"/>
        <v>5178.9830000000002</v>
      </c>
      <c r="AJ10" s="263">
        <f t="shared" si="3"/>
        <v>0.34166680245861047</v>
      </c>
    </row>
    <row r="11" spans="1:36" x14ac:dyDescent="0.25">
      <c r="A11" s="71"/>
      <c r="B11" s="84" t="s">
        <v>213</v>
      </c>
      <c r="C11" s="85" t="s">
        <v>442</v>
      </c>
      <c r="D11" s="133"/>
      <c r="E11" s="133">
        <v>2655.8159999999998</v>
      </c>
      <c r="F11" s="133">
        <v>1954.152</v>
      </c>
      <c r="G11" s="133"/>
      <c r="H11" s="133">
        <v>210.995</v>
      </c>
      <c r="I11" s="133">
        <v>210.995</v>
      </c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5"/>
      <c r="AF11" s="87"/>
      <c r="AG11" s="185"/>
      <c r="AH11" s="135">
        <f t="shared" si="2"/>
        <v>2866.8109999999997</v>
      </c>
      <c r="AI11" s="135">
        <f t="shared" si="2"/>
        <v>2165.1469999999999</v>
      </c>
      <c r="AJ11" s="263">
        <f t="shared" si="3"/>
        <v>0.75524581146088809</v>
      </c>
    </row>
    <row r="12" spans="1:36" x14ac:dyDescent="0.25">
      <c r="A12" s="71">
        <v>10</v>
      </c>
      <c r="B12" s="84" t="s">
        <v>213</v>
      </c>
      <c r="C12" s="85" t="s">
        <v>348</v>
      </c>
      <c r="D12" s="133">
        <v>68</v>
      </c>
      <c r="E12" s="133">
        <v>104.755</v>
      </c>
      <c r="F12" s="133">
        <v>104.755</v>
      </c>
      <c r="G12" s="133"/>
      <c r="H12" s="133">
        <v>56.473999999999997</v>
      </c>
      <c r="I12" s="133">
        <v>56.473999999999997</v>
      </c>
      <c r="J12" s="133">
        <v>10924</v>
      </c>
      <c r="K12" s="133">
        <v>10122.114</v>
      </c>
      <c r="L12" s="133">
        <v>10122.114</v>
      </c>
      <c r="M12" s="133"/>
      <c r="N12" s="133"/>
      <c r="O12" s="133"/>
      <c r="P12" s="133"/>
      <c r="Q12" s="133"/>
      <c r="R12" s="133"/>
      <c r="S12" s="133"/>
      <c r="T12" s="133">
        <v>63.5</v>
      </c>
      <c r="U12" s="133">
        <v>63.5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5">
        <f t="shared" si="1"/>
        <v>10992</v>
      </c>
      <c r="AF12" s="87"/>
      <c r="AG12" s="185"/>
      <c r="AH12" s="135">
        <f t="shared" si="2"/>
        <v>10346.842999999999</v>
      </c>
      <c r="AI12" s="135">
        <f t="shared" si="2"/>
        <v>10346.842999999999</v>
      </c>
      <c r="AJ12" s="263">
        <f t="shared" si="3"/>
        <v>1</v>
      </c>
    </row>
    <row r="13" spans="1:36" x14ac:dyDescent="0.25">
      <c r="A13" s="71">
        <v>11</v>
      </c>
      <c r="B13" s="84"/>
      <c r="C13" s="225" t="s">
        <v>253</v>
      </c>
      <c r="D13" s="135">
        <f t="shared" ref="D13:G13" si="4">SUM(D5:D9)</f>
        <v>11382</v>
      </c>
      <c r="E13" s="135">
        <f>SUM(E5:E12)</f>
        <v>14118.369000000001</v>
      </c>
      <c r="F13" s="486">
        <f>SUM(F5:F12)</f>
        <v>13416.705</v>
      </c>
      <c r="G13" s="135">
        <f t="shared" si="4"/>
        <v>2311</v>
      </c>
      <c r="H13" s="135">
        <f t="shared" ref="H13" si="5">SUM(H5:H9)</f>
        <v>2229.7489999999998</v>
      </c>
      <c r="I13" s="486">
        <f>SUM(I5:I12)</f>
        <v>2497.2179999999998</v>
      </c>
      <c r="J13" s="135">
        <f>SUM(J5:J12)</f>
        <v>32367</v>
      </c>
      <c r="K13" s="135">
        <f>SUM(K5:K12)</f>
        <v>31149.965000000004</v>
      </c>
      <c r="L13" s="486">
        <f t="shared" ref="L13:AH13" si="6">SUM(L5:L12)</f>
        <v>21170.955000000002</v>
      </c>
      <c r="M13" s="135">
        <f t="shared" si="6"/>
        <v>0</v>
      </c>
      <c r="N13" s="135">
        <f t="shared" si="6"/>
        <v>0</v>
      </c>
      <c r="O13" s="135">
        <f t="shared" si="6"/>
        <v>0</v>
      </c>
      <c r="P13" s="135">
        <f t="shared" si="6"/>
        <v>0</v>
      </c>
      <c r="Q13" s="135">
        <f t="shared" si="6"/>
        <v>0</v>
      </c>
      <c r="R13" s="135">
        <f t="shared" si="6"/>
        <v>0</v>
      </c>
      <c r="S13" s="135">
        <f t="shared" si="6"/>
        <v>127</v>
      </c>
      <c r="T13" s="135">
        <f t="shared" si="6"/>
        <v>202.114</v>
      </c>
      <c r="U13" s="486">
        <f t="shared" si="6"/>
        <v>202.114</v>
      </c>
      <c r="V13" s="135">
        <f t="shared" si="6"/>
        <v>0</v>
      </c>
      <c r="W13" s="135">
        <f t="shared" si="6"/>
        <v>0</v>
      </c>
      <c r="X13" s="135">
        <f t="shared" si="6"/>
        <v>0</v>
      </c>
      <c r="Y13" s="135">
        <f t="shared" si="6"/>
        <v>0</v>
      </c>
      <c r="Z13" s="135">
        <f t="shared" si="6"/>
        <v>0</v>
      </c>
      <c r="AA13" s="135">
        <f t="shared" si="6"/>
        <v>0</v>
      </c>
      <c r="AB13" s="135">
        <f t="shared" si="6"/>
        <v>0</v>
      </c>
      <c r="AC13" s="135">
        <f t="shared" si="6"/>
        <v>0</v>
      </c>
      <c r="AD13" s="135">
        <f t="shared" si="6"/>
        <v>0</v>
      </c>
      <c r="AE13" s="135">
        <f t="shared" si="6"/>
        <v>46255</v>
      </c>
      <c r="AF13" s="135">
        <f t="shared" si="6"/>
        <v>26564.058000000001</v>
      </c>
      <c r="AG13" s="135">
        <f t="shared" si="6"/>
        <v>32297</v>
      </c>
      <c r="AH13" s="135">
        <f t="shared" si="6"/>
        <v>47967.666000000005</v>
      </c>
      <c r="AI13" s="486">
        <f>SUM(AI5:AI12)</f>
        <v>37286.991999999998</v>
      </c>
      <c r="AJ13" s="263">
        <f t="shared" si="3"/>
        <v>0.77733596627361423</v>
      </c>
    </row>
    <row r="14" spans="1:36" x14ac:dyDescent="0.25">
      <c r="A14" s="71">
        <v>12</v>
      </c>
      <c r="B14" s="84"/>
      <c r="C14" s="80" t="s">
        <v>238</v>
      </c>
      <c r="D14" s="136">
        <f>SUMIF($B5:$B12,"kötelező",D5:D12)</f>
        <v>9919</v>
      </c>
      <c r="E14" s="136">
        <f t="shared" ref="E14:AH14" si="7">SUMIF($B5:$B12,"kötelező",E5:E12)</f>
        <v>10444.851000000001</v>
      </c>
      <c r="F14" s="136">
        <f t="shared" si="7"/>
        <v>10444.851000000001</v>
      </c>
      <c r="G14" s="136">
        <f t="shared" si="7"/>
        <v>1784</v>
      </c>
      <c r="H14" s="136">
        <f t="shared" si="7"/>
        <v>1837.8009999999999</v>
      </c>
      <c r="I14" s="136">
        <f t="shared" si="7"/>
        <v>1837.8009999999999</v>
      </c>
      <c r="J14" s="136">
        <f t="shared" si="7"/>
        <v>4268</v>
      </c>
      <c r="K14" s="136">
        <f t="shared" si="7"/>
        <v>3831.7919999999999</v>
      </c>
      <c r="L14" s="136">
        <f t="shared" si="7"/>
        <v>3831.7919999999999</v>
      </c>
      <c r="M14" s="136">
        <f t="shared" si="7"/>
        <v>0</v>
      </c>
      <c r="N14" s="136">
        <f t="shared" si="7"/>
        <v>0</v>
      </c>
      <c r="O14" s="136">
        <f t="shared" si="7"/>
        <v>0</v>
      </c>
      <c r="P14" s="136">
        <f t="shared" si="7"/>
        <v>0</v>
      </c>
      <c r="Q14" s="136">
        <f t="shared" si="7"/>
        <v>0</v>
      </c>
      <c r="R14" s="136">
        <f t="shared" si="7"/>
        <v>0</v>
      </c>
      <c r="S14" s="136">
        <f t="shared" si="7"/>
        <v>127</v>
      </c>
      <c r="T14" s="136">
        <f t="shared" si="7"/>
        <v>138.614</v>
      </c>
      <c r="U14" s="136">
        <f t="shared" si="7"/>
        <v>138.614</v>
      </c>
      <c r="V14" s="136">
        <f t="shared" si="7"/>
        <v>0</v>
      </c>
      <c r="W14" s="136">
        <f t="shared" si="7"/>
        <v>0</v>
      </c>
      <c r="X14" s="136">
        <f t="shared" si="7"/>
        <v>0</v>
      </c>
      <c r="Y14" s="136">
        <f t="shared" si="7"/>
        <v>0</v>
      </c>
      <c r="Z14" s="136">
        <f t="shared" si="7"/>
        <v>0</v>
      </c>
      <c r="AA14" s="136">
        <f t="shared" si="7"/>
        <v>0</v>
      </c>
      <c r="AB14" s="136">
        <f t="shared" si="7"/>
        <v>0</v>
      </c>
      <c r="AC14" s="136">
        <f t="shared" si="7"/>
        <v>0</v>
      </c>
      <c r="AD14" s="136">
        <f t="shared" si="7"/>
        <v>0</v>
      </c>
      <c r="AE14" s="136">
        <f t="shared" si="7"/>
        <v>16098</v>
      </c>
      <c r="AF14" s="136">
        <f t="shared" si="7"/>
        <v>16253.058000000001</v>
      </c>
      <c r="AG14" s="136">
        <f t="shared" si="7"/>
        <v>22277</v>
      </c>
      <c r="AH14" s="136">
        <f t="shared" si="7"/>
        <v>16253.057999999999</v>
      </c>
      <c r="AI14" s="136">
        <f>SUMIF($B5:$B12,"kötelező",AI5:AI12)</f>
        <v>16253.057999999999</v>
      </c>
      <c r="AJ14" s="262">
        <f>AI14/AH14</f>
        <v>1</v>
      </c>
    </row>
    <row r="15" spans="1:36" x14ac:dyDescent="0.25">
      <c r="A15" s="71">
        <v>13</v>
      </c>
      <c r="B15" s="84"/>
      <c r="C15" s="80" t="s">
        <v>239</v>
      </c>
      <c r="D15" s="136">
        <f>SUMIF($B5:$B12,"nem kötelező",D5:D12)</f>
        <v>1531</v>
      </c>
      <c r="E15" s="136">
        <f t="shared" ref="E15:AH15" si="8">SUMIF($B5:$B12,"nem kötelező",E5:E12)</f>
        <v>3673.518</v>
      </c>
      <c r="F15" s="136">
        <f t="shared" si="8"/>
        <v>2971.8540000000003</v>
      </c>
      <c r="G15" s="136">
        <f t="shared" si="8"/>
        <v>527</v>
      </c>
      <c r="H15" s="136">
        <f t="shared" si="8"/>
        <v>659.41700000000003</v>
      </c>
      <c r="I15" s="136">
        <f t="shared" si="8"/>
        <v>659.41700000000003</v>
      </c>
      <c r="J15" s="136">
        <f t="shared" si="8"/>
        <v>28099</v>
      </c>
      <c r="K15" s="136">
        <f t="shared" si="8"/>
        <v>27318.173000000003</v>
      </c>
      <c r="L15" s="136">
        <f t="shared" si="8"/>
        <v>17339.163</v>
      </c>
      <c r="M15" s="136">
        <f t="shared" si="8"/>
        <v>0</v>
      </c>
      <c r="N15" s="136">
        <f t="shared" si="8"/>
        <v>0</v>
      </c>
      <c r="O15" s="136">
        <f t="shared" si="8"/>
        <v>0</v>
      </c>
      <c r="P15" s="136">
        <f t="shared" si="8"/>
        <v>0</v>
      </c>
      <c r="Q15" s="136">
        <f t="shared" si="8"/>
        <v>0</v>
      </c>
      <c r="R15" s="136">
        <f t="shared" si="8"/>
        <v>0</v>
      </c>
      <c r="S15" s="136">
        <f t="shared" si="8"/>
        <v>0</v>
      </c>
      <c r="T15" s="136">
        <f t="shared" si="8"/>
        <v>63.5</v>
      </c>
      <c r="U15" s="136">
        <f t="shared" si="8"/>
        <v>63.5</v>
      </c>
      <c r="V15" s="136">
        <f t="shared" si="8"/>
        <v>0</v>
      </c>
      <c r="W15" s="136">
        <f t="shared" si="8"/>
        <v>0</v>
      </c>
      <c r="X15" s="136">
        <f t="shared" si="8"/>
        <v>0</v>
      </c>
      <c r="Y15" s="136">
        <f t="shared" si="8"/>
        <v>0</v>
      </c>
      <c r="Z15" s="136">
        <f t="shared" si="8"/>
        <v>0</v>
      </c>
      <c r="AA15" s="136">
        <f t="shared" si="8"/>
        <v>0</v>
      </c>
      <c r="AB15" s="136">
        <f t="shared" si="8"/>
        <v>0</v>
      </c>
      <c r="AC15" s="136">
        <f t="shared" si="8"/>
        <v>0</v>
      </c>
      <c r="AD15" s="136">
        <f t="shared" si="8"/>
        <v>0</v>
      </c>
      <c r="AE15" s="136">
        <f t="shared" si="8"/>
        <v>30157</v>
      </c>
      <c r="AF15" s="136">
        <f t="shared" si="8"/>
        <v>10311</v>
      </c>
      <c r="AG15" s="136">
        <f t="shared" si="8"/>
        <v>10020</v>
      </c>
      <c r="AH15" s="136">
        <f t="shared" si="8"/>
        <v>31714.608</v>
      </c>
      <c r="AI15" s="136">
        <f>SUMIF($B5:$B12,"nem kötelező",AI5:AI12)</f>
        <v>21033.934000000001</v>
      </c>
      <c r="AJ15" s="262">
        <f t="shared" si="3"/>
        <v>0.66322541334895269</v>
      </c>
    </row>
    <row r="16" spans="1:36" x14ac:dyDescent="0.25">
      <c r="A16" s="71">
        <v>14</v>
      </c>
      <c r="B16" s="84"/>
      <c r="C16" s="80" t="s">
        <v>299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8">
        <v>5</v>
      </c>
      <c r="AF16" s="87"/>
      <c r="AH16" s="307">
        <v>5</v>
      </c>
      <c r="AI16" s="507">
        <v>4.2</v>
      </c>
      <c r="AJ16" s="263">
        <f t="shared" si="3"/>
        <v>0.84000000000000008</v>
      </c>
    </row>
    <row r="17" spans="1:36" x14ac:dyDescent="0.25">
      <c r="A17" s="71">
        <v>15</v>
      </c>
      <c r="B17" s="84"/>
      <c r="C17" s="80" t="s">
        <v>296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>
        <v>0</v>
      </c>
      <c r="AG17" s="87">
        <v>0</v>
      </c>
      <c r="AH17" s="87">
        <v>0</v>
      </c>
      <c r="AI17" s="506">
        <v>3</v>
      </c>
      <c r="AJ17" s="80"/>
    </row>
  </sheetData>
  <mergeCells count="12">
    <mergeCell ref="V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4"/>
  <sheetViews>
    <sheetView workbookViewId="0">
      <selection activeCell="A2" sqref="A2"/>
    </sheetView>
  </sheetViews>
  <sheetFormatPr defaultRowHeight="15.75" x14ac:dyDescent="0.25"/>
  <cols>
    <col min="1" max="1" width="52.7109375" style="222" customWidth="1"/>
    <col min="2" max="2" width="14.42578125" style="222" customWidth="1"/>
    <col min="3" max="3" width="19" style="529" customWidth="1"/>
    <col min="4" max="4" width="12" style="222" customWidth="1"/>
    <col min="5" max="5" width="12.42578125" style="222" bestFit="1" customWidth="1"/>
    <col min="6" max="7" width="12.42578125" style="222" customWidth="1"/>
    <col min="8" max="8" width="12.85546875" style="222" customWidth="1"/>
    <col min="9" max="16384" width="9.140625" style="222"/>
  </cols>
  <sheetData>
    <row r="1" spans="1:8" x14ac:dyDescent="0.25">
      <c r="A1" s="878" t="s">
        <v>1030</v>
      </c>
      <c r="B1" s="878"/>
      <c r="C1" s="878"/>
      <c r="D1" s="878"/>
      <c r="E1" s="878"/>
      <c r="F1" s="878"/>
      <c r="G1" s="878"/>
      <c r="H1" s="878"/>
    </row>
    <row r="3" spans="1:8" s="224" customFormat="1" ht="29.25" customHeight="1" x14ac:dyDescent="0.25">
      <c r="A3" s="879" t="s">
        <v>556</v>
      </c>
      <c r="B3" s="880"/>
      <c r="C3" s="880"/>
      <c r="D3" s="880"/>
      <c r="E3" s="880"/>
      <c r="F3" s="880"/>
      <c r="G3" s="880"/>
      <c r="H3" s="880"/>
    </row>
    <row r="4" spans="1:8" ht="16.5" thickBot="1" x14ac:dyDescent="0.3">
      <c r="E4" s="878" t="s">
        <v>343</v>
      </c>
      <c r="F4" s="878"/>
      <c r="G4" s="878"/>
      <c r="H4" s="878"/>
    </row>
    <row r="5" spans="1:8" s="224" customFormat="1" ht="48" thickBot="1" x14ac:dyDescent="0.3">
      <c r="A5" s="530" t="s">
        <v>189</v>
      </c>
      <c r="B5" s="531" t="s">
        <v>190</v>
      </c>
      <c r="C5" s="532" t="s">
        <v>191</v>
      </c>
      <c r="D5" s="532" t="s">
        <v>510</v>
      </c>
      <c r="E5" s="532" t="s">
        <v>390</v>
      </c>
      <c r="F5" s="216" t="s">
        <v>413</v>
      </c>
      <c r="G5" s="216" t="s">
        <v>414</v>
      </c>
      <c r="H5" s="533" t="s">
        <v>415</v>
      </c>
    </row>
    <row r="6" spans="1:8" s="529" customFormat="1" x14ac:dyDescent="0.25">
      <c r="A6" s="534" t="s">
        <v>455</v>
      </c>
      <c r="B6" s="217"/>
      <c r="C6" s="217"/>
      <c r="D6" s="217"/>
      <c r="E6" s="217"/>
      <c r="F6" s="217"/>
      <c r="G6" s="217"/>
      <c r="H6" s="217"/>
    </row>
    <row r="7" spans="1:8" x14ac:dyDescent="0.25">
      <c r="A7" s="535" t="s">
        <v>456</v>
      </c>
      <c r="B7" s="218"/>
      <c r="C7" s="536"/>
      <c r="D7" s="218"/>
      <c r="E7" s="218"/>
      <c r="F7" s="218"/>
      <c r="G7" s="218"/>
      <c r="H7" s="537"/>
    </row>
    <row r="8" spans="1:8" x14ac:dyDescent="0.25">
      <c r="A8" s="538" t="s">
        <v>524</v>
      </c>
      <c r="B8" s="218">
        <v>96</v>
      </c>
      <c r="C8" s="536">
        <v>2018</v>
      </c>
      <c r="D8" s="218">
        <v>0</v>
      </c>
      <c r="E8" s="218">
        <v>96</v>
      </c>
      <c r="F8" s="218">
        <v>90</v>
      </c>
      <c r="G8" s="218">
        <v>90</v>
      </c>
      <c r="H8" s="537">
        <f>B8-D8-E8</f>
        <v>0</v>
      </c>
    </row>
    <row r="9" spans="1:8" x14ac:dyDescent="0.25">
      <c r="A9" s="539" t="s">
        <v>457</v>
      </c>
      <c r="B9" s="220">
        <v>115</v>
      </c>
      <c r="C9" s="536">
        <v>2018</v>
      </c>
      <c r="D9" s="218">
        <v>0</v>
      </c>
      <c r="E9" s="220">
        <v>115</v>
      </c>
      <c r="F9" s="220">
        <v>109.99</v>
      </c>
      <c r="G9" s="218">
        <v>109.99</v>
      </c>
      <c r="H9" s="537">
        <v>0</v>
      </c>
    </row>
    <row r="10" spans="1:8" x14ac:dyDescent="0.25">
      <c r="A10" s="538" t="s">
        <v>458</v>
      </c>
      <c r="B10" s="220">
        <v>254</v>
      </c>
      <c r="C10" s="536">
        <v>2018</v>
      </c>
      <c r="D10" s="218">
        <v>0</v>
      </c>
      <c r="E10" s="220">
        <v>254</v>
      </c>
      <c r="F10" s="220">
        <v>0</v>
      </c>
      <c r="G10" s="218"/>
      <c r="H10" s="537">
        <v>0</v>
      </c>
    </row>
    <row r="11" spans="1:8" x14ac:dyDescent="0.25">
      <c r="A11" s="538" t="s">
        <v>459</v>
      </c>
      <c r="B11" s="220">
        <v>122</v>
      </c>
      <c r="C11" s="536">
        <v>2018</v>
      </c>
      <c r="D11" s="218">
        <v>0</v>
      </c>
      <c r="E11" s="220">
        <v>122</v>
      </c>
      <c r="F11" s="220">
        <v>113.03</v>
      </c>
      <c r="G11" s="218">
        <v>113.03</v>
      </c>
      <c r="H11" s="537">
        <v>0</v>
      </c>
    </row>
    <row r="12" spans="1:8" x14ac:dyDescent="0.25">
      <c r="A12" s="538" t="s">
        <v>460</v>
      </c>
      <c r="B12" s="220">
        <v>32</v>
      </c>
      <c r="C12" s="536">
        <v>2018</v>
      </c>
      <c r="D12" s="218">
        <v>0</v>
      </c>
      <c r="E12" s="220">
        <v>32</v>
      </c>
      <c r="F12" s="220">
        <v>15</v>
      </c>
      <c r="G12" s="218">
        <v>15</v>
      </c>
      <c r="H12" s="537">
        <v>0</v>
      </c>
    </row>
    <row r="13" spans="1:8" x14ac:dyDescent="0.25">
      <c r="A13" s="538" t="s">
        <v>531</v>
      </c>
      <c r="B13" s="220"/>
      <c r="C13" s="536"/>
      <c r="D13" s="218"/>
      <c r="E13" s="220"/>
      <c r="F13" s="220">
        <v>3.55</v>
      </c>
      <c r="G13" s="218">
        <v>3.55</v>
      </c>
      <c r="H13" s="537"/>
    </row>
    <row r="14" spans="1:8" x14ac:dyDescent="0.25">
      <c r="A14" s="538" t="s">
        <v>525</v>
      </c>
      <c r="B14" s="220"/>
      <c r="C14" s="536"/>
      <c r="D14" s="218"/>
      <c r="E14" s="220"/>
      <c r="F14" s="220">
        <v>20.827999999999999</v>
      </c>
      <c r="G14" s="218">
        <v>20.827999999999999</v>
      </c>
      <c r="H14" s="537"/>
    </row>
    <row r="15" spans="1:8" x14ac:dyDescent="0.25">
      <c r="A15" s="538" t="s">
        <v>461</v>
      </c>
      <c r="B15" s="220">
        <v>46</v>
      </c>
      <c r="C15" s="536">
        <v>2018</v>
      </c>
      <c r="D15" s="218">
        <v>0</v>
      </c>
      <c r="E15" s="220">
        <v>46</v>
      </c>
      <c r="F15" s="220">
        <v>24</v>
      </c>
      <c r="G15" s="218">
        <v>23.998999999999999</v>
      </c>
      <c r="H15" s="537">
        <v>0</v>
      </c>
    </row>
    <row r="16" spans="1:8" x14ac:dyDescent="0.25">
      <c r="A16" s="538" t="s">
        <v>462</v>
      </c>
      <c r="B16" s="220">
        <v>761</v>
      </c>
      <c r="C16" s="536">
        <v>2018</v>
      </c>
      <c r="D16" s="218">
        <v>0</v>
      </c>
      <c r="E16" s="220">
        <v>761</v>
      </c>
      <c r="F16" s="220">
        <v>0</v>
      </c>
      <c r="G16" s="218"/>
      <c r="H16" s="537">
        <v>0</v>
      </c>
    </row>
    <row r="17" spans="1:8" x14ac:dyDescent="0.25">
      <c r="A17" s="538" t="s">
        <v>526</v>
      </c>
      <c r="B17" s="220"/>
      <c r="C17" s="536"/>
      <c r="D17" s="218"/>
      <c r="E17" s="220"/>
      <c r="F17" s="220">
        <v>35.700000000000003</v>
      </c>
      <c r="G17" s="218">
        <v>35.700000000000003</v>
      </c>
      <c r="H17" s="537"/>
    </row>
    <row r="18" spans="1:8" x14ac:dyDescent="0.25">
      <c r="A18" s="477" t="s">
        <v>463</v>
      </c>
      <c r="B18" s="220">
        <v>312</v>
      </c>
      <c r="C18" s="536">
        <v>2018</v>
      </c>
      <c r="D18" s="218">
        <v>0</v>
      </c>
      <c r="E18" s="220">
        <v>312</v>
      </c>
      <c r="F18" s="220">
        <v>279.89999999999998</v>
      </c>
      <c r="G18" s="218">
        <v>279.89999999999998</v>
      </c>
      <c r="H18" s="537">
        <v>0</v>
      </c>
    </row>
    <row r="19" spans="1:8" x14ac:dyDescent="0.25">
      <c r="A19" s="540" t="s">
        <v>464</v>
      </c>
      <c r="B19" s="220"/>
      <c r="C19" s="217"/>
      <c r="D19" s="220"/>
      <c r="E19" s="220"/>
      <c r="F19" s="220"/>
      <c r="G19" s="218"/>
      <c r="H19" s="537"/>
    </row>
    <row r="20" spans="1:8" x14ac:dyDescent="0.25">
      <c r="A20" s="477" t="s">
        <v>465</v>
      </c>
      <c r="B20" s="220">
        <v>78</v>
      </c>
      <c r="C20" s="536">
        <v>2018</v>
      </c>
      <c r="D20" s="218">
        <v>0</v>
      </c>
      <c r="E20" s="220">
        <v>78</v>
      </c>
      <c r="F20" s="220">
        <v>77.900000000000006</v>
      </c>
      <c r="G20" s="218">
        <v>77.900000000000006</v>
      </c>
      <c r="H20" s="537">
        <v>0</v>
      </c>
    </row>
    <row r="21" spans="1:8" x14ac:dyDescent="0.25">
      <c r="A21" s="477" t="s">
        <v>466</v>
      </c>
      <c r="B21" s="220">
        <v>60</v>
      </c>
      <c r="C21" s="536">
        <v>2018</v>
      </c>
      <c r="D21" s="218">
        <v>0</v>
      </c>
      <c r="E21" s="220">
        <v>60</v>
      </c>
      <c r="F21" s="220">
        <v>57.902000000000001</v>
      </c>
      <c r="G21" s="218">
        <v>57.902000000000001</v>
      </c>
      <c r="H21" s="537">
        <v>0</v>
      </c>
    </row>
    <row r="22" spans="1:8" x14ac:dyDescent="0.25">
      <c r="A22" s="539" t="s">
        <v>528</v>
      </c>
      <c r="B22" s="541">
        <v>31</v>
      </c>
      <c r="C22" s="536">
        <v>2018</v>
      </c>
      <c r="D22" s="218">
        <v>0</v>
      </c>
      <c r="E22" s="541">
        <v>31</v>
      </c>
      <c r="F22" s="541">
        <v>22.1</v>
      </c>
      <c r="G22" s="218">
        <v>22.1</v>
      </c>
      <c r="H22" s="537">
        <v>0</v>
      </c>
    </row>
    <row r="23" spans="1:8" x14ac:dyDescent="0.25">
      <c r="A23" s="477" t="s">
        <v>527</v>
      </c>
      <c r="B23" s="220">
        <v>26</v>
      </c>
      <c r="C23" s="536">
        <v>2018</v>
      </c>
      <c r="D23" s="218">
        <v>0</v>
      </c>
      <c r="E23" s="220">
        <v>26</v>
      </c>
      <c r="F23" s="220">
        <v>25.4</v>
      </c>
      <c r="G23" s="218">
        <v>25.4</v>
      </c>
      <c r="H23" s="537">
        <v>0</v>
      </c>
    </row>
    <row r="24" spans="1:8" x14ac:dyDescent="0.25">
      <c r="A24" s="477" t="s">
        <v>467</v>
      </c>
      <c r="B24" s="220">
        <v>25</v>
      </c>
      <c r="C24" s="536">
        <v>2018</v>
      </c>
      <c r="D24" s="218">
        <v>0</v>
      </c>
      <c r="E24" s="220">
        <v>25</v>
      </c>
      <c r="F24" s="220">
        <v>19.800999999999998</v>
      </c>
      <c r="G24" s="218">
        <v>19.800999999999998</v>
      </c>
      <c r="H24" s="537">
        <v>0</v>
      </c>
    </row>
    <row r="25" spans="1:8" x14ac:dyDescent="0.25">
      <c r="A25" s="477" t="s">
        <v>467</v>
      </c>
      <c r="B25" s="220"/>
      <c r="C25" s="536">
        <v>2018</v>
      </c>
      <c r="D25" s="218"/>
      <c r="E25" s="220"/>
      <c r="F25" s="220">
        <v>19.8</v>
      </c>
      <c r="G25" s="218">
        <v>19.8</v>
      </c>
      <c r="H25" s="537">
        <v>0</v>
      </c>
    </row>
    <row r="26" spans="1:8" x14ac:dyDescent="0.25">
      <c r="A26" s="477" t="s">
        <v>468</v>
      </c>
      <c r="B26" s="220">
        <v>26</v>
      </c>
      <c r="C26" s="536">
        <v>2018</v>
      </c>
      <c r="D26" s="218">
        <v>0</v>
      </c>
      <c r="E26" s="220">
        <v>26</v>
      </c>
      <c r="F26" s="220">
        <v>25.9</v>
      </c>
      <c r="G26" s="218">
        <v>25.9</v>
      </c>
      <c r="H26" s="537">
        <v>0</v>
      </c>
    </row>
    <row r="27" spans="1:8" x14ac:dyDescent="0.25">
      <c r="A27" s="477" t="s">
        <v>506</v>
      </c>
      <c r="B27" s="220"/>
      <c r="C27" s="536">
        <v>2018</v>
      </c>
      <c r="D27" s="218"/>
      <c r="E27" s="220"/>
      <c r="F27" s="220">
        <v>43</v>
      </c>
      <c r="G27" s="218">
        <v>43</v>
      </c>
      <c r="H27" s="537">
        <v>0</v>
      </c>
    </row>
    <row r="28" spans="1:8" x14ac:dyDescent="0.25">
      <c r="A28" s="477" t="s">
        <v>469</v>
      </c>
      <c r="B28" s="220">
        <v>310</v>
      </c>
      <c r="C28" s="536">
        <v>2018</v>
      </c>
      <c r="D28" s="218">
        <v>0</v>
      </c>
      <c r="E28" s="220">
        <v>310</v>
      </c>
      <c r="F28" s="220">
        <v>269.89999999999998</v>
      </c>
      <c r="G28" s="218">
        <v>269.89999999999998</v>
      </c>
      <c r="H28" s="537">
        <v>0</v>
      </c>
    </row>
    <row r="29" spans="1:8" s="223" customFormat="1" x14ac:dyDescent="0.25">
      <c r="A29" s="542" t="s">
        <v>470</v>
      </c>
      <c r="B29" s="221"/>
      <c r="C29" s="534"/>
      <c r="D29" s="221"/>
      <c r="E29" s="221"/>
      <c r="F29" s="221"/>
      <c r="G29" s="219"/>
      <c r="H29" s="543"/>
    </row>
    <row r="30" spans="1:8" x14ac:dyDescent="0.25">
      <c r="A30" s="477" t="s">
        <v>471</v>
      </c>
      <c r="B30" s="220">
        <v>89</v>
      </c>
      <c r="C30" s="536">
        <v>2018</v>
      </c>
      <c r="D30" s="218">
        <v>0</v>
      </c>
      <c r="E30" s="220">
        <v>89</v>
      </c>
      <c r="F30" s="220">
        <v>69.989999999999995</v>
      </c>
      <c r="G30" s="218">
        <v>69.989999999999995</v>
      </c>
      <c r="H30" s="537">
        <v>0</v>
      </c>
    </row>
    <row r="31" spans="1:8" x14ac:dyDescent="0.25">
      <c r="A31" s="477" t="s">
        <v>505</v>
      </c>
      <c r="B31" s="220"/>
      <c r="C31" s="536"/>
      <c r="D31" s="218"/>
      <c r="E31" s="220"/>
      <c r="F31" s="220">
        <f>3.59+0.119</f>
        <v>3.7089999999999996</v>
      </c>
      <c r="G31" s="218">
        <v>3.59</v>
      </c>
      <c r="H31" s="537">
        <v>0</v>
      </c>
    </row>
    <row r="32" spans="1:8" x14ac:dyDescent="0.25">
      <c r="A32" s="542" t="s">
        <v>472</v>
      </c>
      <c r="B32" s="221">
        <f>SUM(B8:B30)</f>
        <v>2383</v>
      </c>
      <c r="C32" s="534"/>
      <c r="D32" s="221">
        <v>0</v>
      </c>
      <c r="E32" s="221">
        <f>SUM(E8:E30)</f>
        <v>2383</v>
      </c>
      <c r="F32" s="221">
        <f>SUM(F8:F31)</f>
        <v>1327.4</v>
      </c>
      <c r="G32" s="221">
        <f>SUM(G8:G31)</f>
        <v>1327.2799999999997</v>
      </c>
      <c r="H32" s="537">
        <f t="shared" ref="H32:H92" si="0">B32-D32-E32</f>
        <v>0</v>
      </c>
    </row>
    <row r="33" spans="1:8" x14ac:dyDescent="0.25">
      <c r="A33" s="534" t="s">
        <v>473</v>
      </c>
      <c r="B33" s="221"/>
      <c r="C33" s="534"/>
      <c r="D33" s="221"/>
      <c r="E33" s="221"/>
      <c r="F33" s="221"/>
      <c r="G33" s="218"/>
      <c r="H33" s="537"/>
    </row>
    <row r="34" spans="1:8" x14ac:dyDescent="0.25">
      <c r="A34" s="77" t="s">
        <v>342</v>
      </c>
      <c r="B34" s="220">
        <v>55115</v>
      </c>
      <c r="C34" s="217">
        <v>2018</v>
      </c>
      <c r="D34" s="220">
        <v>0</v>
      </c>
      <c r="E34" s="220">
        <v>55115</v>
      </c>
      <c r="F34" s="220">
        <v>55115</v>
      </c>
      <c r="G34" s="218"/>
      <c r="H34" s="537">
        <f t="shared" si="0"/>
        <v>0</v>
      </c>
    </row>
    <row r="35" spans="1:8" x14ac:dyDescent="0.25">
      <c r="A35" s="77" t="s">
        <v>337</v>
      </c>
      <c r="B35" s="220">
        <v>189753</v>
      </c>
      <c r="C35" s="217">
        <v>2018</v>
      </c>
      <c r="D35" s="220">
        <v>0</v>
      </c>
      <c r="E35" s="220">
        <v>189753</v>
      </c>
      <c r="F35" s="220">
        <v>190261</v>
      </c>
      <c r="G35" s="218"/>
      <c r="H35" s="537">
        <f t="shared" si="0"/>
        <v>0</v>
      </c>
    </row>
    <row r="36" spans="1:8" x14ac:dyDescent="0.25">
      <c r="A36" s="77" t="s">
        <v>339</v>
      </c>
      <c r="B36" s="220">
        <v>45500</v>
      </c>
      <c r="C36" s="217">
        <v>2018</v>
      </c>
      <c r="D36" s="220">
        <v>0</v>
      </c>
      <c r="E36" s="220">
        <v>45500</v>
      </c>
      <c r="F36" s="220">
        <v>45500</v>
      </c>
      <c r="G36" s="218"/>
      <c r="H36" s="537">
        <f t="shared" si="0"/>
        <v>0</v>
      </c>
    </row>
    <row r="37" spans="1:8" x14ac:dyDescent="0.25">
      <c r="A37" s="77" t="s">
        <v>341</v>
      </c>
      <c r="B37" s="220">
        <v>159401</v>
      </c>
      <c r="C37" s="217">
        <v>2019</v>
      </c>
      <c r="D37" s="220">
        <v>0</v>
      </c>
      <c r="E37" s="220">
        <v>159401</v>
      </c>
      <c r="F37" s="220">
        <v>159401</v>
      </c>
      <c r="G37" s="218"/>
      <c r="H37" s="537">
        <f t="shared" si="0"/>
        <v>0</v>
      </c>
    </row>
    <row r="38" spans="1:8" s="223" customFormat="1" x14ac:dyDescent="0.25">
      <c r="A38" s="77" t="s">
        <v>474</v>
      </c>
      <c r="B38" s="476">
        <v>110015</v>
      </c>
      <c r="C38" s="217">
        <v>2019</v>
      </c>
      <c r="D38" s="220">
        <v>0</v>
      </c>
      <c r="E38" s="476">
        <v>110015</v>
      </c>
      <c r="F38" s="476">
        <v>95412.135999999999</v>
      </c>
      <c r="G38" s="219"/>
      <c r="H38" s="537">
        <f t="shared" si="0"/>
        <v>0</v>
      </c>
    </row>
    <row r="39" spans="1:8" x14ac:dyDescent="0.25">
      <c r="A39" s="77" t="s">
        <v>475</v>
      </c>
      <c r="B39" s="476">
        <v>46438</v>
      </c>
      <c r="C39" s="217">
        <v>2020</v>
      </c>
      <c r="D39" s="220">
        <v>0</v>
      </c>
      <c r="E39" s="476">
        <v>46438</v>
      </c>
      <c r="F39" s="476">
        <v>46438</v>
      </c>
      <c r="G39" s="218"/>
      <c r="H39" s="537">
        <f t="shared" si="0"/>
        <v>0</v>
      </c>
    </row>
    <row r="40" spans="1:8" x14ac:dyDescent="0.25">
      <c r="A40" s="542" t="s">
        <v>476</v>
      </c>
      <c r="B40" s="221">
        <f>SUM(B34:B39)</f>
        <v>606222</v>
      </c>
      <c r="C40" s="534"/>
      <c r="D40" s="221"/>
      <c r="E40" s="221">
        <f>SUM(E34:E39)</f>
        <v>606222</v>
      </c>
      <c r="F40" s="221">
        <f>SUM(F34:F39)</f>
        <v>592127.13599999994</v>
      </c>
      <c r="G40" s="221">
        <f>SUM(G34:G39)</f>
        <v>0</v>
      </c>
      <c r="H40" s="537">
        <f t="shared" si="0"/>
        <v>0</v>
      </c>
    </row>
    <row r="41" spans="1:8" x14ac:dyDescent="0.25">
      <c r="A41" s="477" t="s">
        <v>477</v>
      </c>
      <c r="B41" s="220">
        <v>500</v>
      </c>
      <c r="C41" s="217">
        <v>2018</v>
      </c>
      <c r="D41" s="220"/>
      <c r="E41" s="220">
        <v>500</v>
      </c>
      <c r="F41" s="220">
        <v>500</v>
      </c>
      <c r="G41" s="218"/>
      <c r="H41" s="537">
        <f t="shared" si="0"/>
        <v>0</v>
      </c>
    </row>
    <row r="42" spans="1:8" x14ac:dyDescent="0.25">
      <c r="A42" s="477" t="s">
        <v>507</v>
      </c>
      <c r="B42" s="220"/>
      <c r="C42" s="217"/>
      <c r="D42" s="220"/>
      <c r="E42" s="220"/>
      <c r="F42" s="220"/>
      <c r="G42" s="218">
        <v>188</v>
      </c>
      <c r="H42" s="537">
        <v>0</v>
      </c>
    </row>
    <row r="43" spans="1:8" x14ac:dyDescent="0.25">
      <c r="A43" s="477" t="s">
        <v>508</v>
      </c>
      <c r="B43" s="220"/>
      <c r="C43" s="217"/>
      <c r="D43" s="220"/>
      <c r="E43" s="220"/>
      <c r="F43" s="220"/>
      <c r="G43" s="218">
        <v>265</v>
      </c>
      <c r="H43" s="537">
        <v>0</v>
      </c>
    </row>
    <row r="44" spans="1:8" x14ac:dyDescent="0.25">
      <c r="A44" s="477" t="s">
        <v>478</v>
      </c>
      <c r="B44" s="220">
        <v>700</v>
      </c>
      <c r="C44" s="217">
        <v>2018</v>
      </c>
      <c r="D44" s="220"/>
      <c r="E44" s="220">
        <v>700</v>
      </c>
      <c r="F44" s="220">
        <v>750</v>
      </c>
      <c r="G44" s="218">
        <v>750</v>
      </c>
      <c r="H44" s="537">
        <f t="shared" si="0"/>
        <v>0</v>
      </c>
    </row>
    <row r="45" spans="1:8" ht="31.5" x14ac:dyDescent="0.25">
      <c r="A45" s="544" t="s">
        <v>479</v>
      </c>
      <c r="B45" s="220">
        <v>50</v>
      </c>
      <c r="C45" s="217">
        <v>2018</v>
      </c>
      <c r="D45" s="220">
        <v>0</v>
      </c>
      <c r="E45" s="220">
        <v>50</v>
      </c>
      <c r="F45" s="220">
        <v>50</v>
      </c>
      <c r="G45" s="218"/>
      <c r="H45" s="537">
        <f t="shared" si="0"/>
        <v>0</v>
      </c>
    </row>
    <row r="46" spans="1:8" x14ac:dyDescent="0.25">
      <c r="A46" s="477" t="s">
        <v>434</v>
      </c>
      <c r="B46" s="220">
        <v>10526</v>
      </c>
      <c r="C46" s="217">
        <v>2018</v>
      </c>
      <c r="D46" s="220">
        <v>0</v>
      </c>
      <c r="E46" s="220">
        <v>10526</v>
      </c>
      <c r="F46" s="220">
        <v>10295.5</v>
      </c>
      <c r="G46" s="218">
        <v>10101.531999999999</v>
      </c>
      <c r="H46" s="537">
        <v>0</v>
      </c>
    </row>
    <row r="47" spans="1:8" x14ac:dyDescent="0.25">
      <c r="A47" s="477" t="s">
        <v>480</v>
      </c>
      <c r="B47" s="220"/>
      <c r="C47" s="217">
        <v>2018</v>
      </c>
      <c r="D47" s="220"/>
      <c r="E47" s="220"/>
      <c r="F47" s="220">
        <v>299.23</v>
      </c>
      <c r="G47" s="218"/>
      <c r="H47" s="537">
        <f t="shared" si="0"/>
        <v>0</v>
      </c>
    </row>
    <row r="48" spans="1:8" x14ac:dyDescent="0.25">
      <c r="A48" s="477" t="s">
        <v>509</v>
      </c>
      <c r="B48" s="220"/>
      <c r="C48" s="217"/>
      <c r="D48" s="220"/>
      <c r="E48" s="220"/>
      <c r="F48" s="220">
        <v>165.8</v>
      </c>
      <c r="G48" s="218">
        <v>165.70599999999999</v>
      </c>
      <c r="H48" s="537">
        <v>0</v>
      </c>
    </row>
    <row r="49" spans="1:8" x14ac:dyDescent="0.25">
      <c r="A49" s="477" t="s">
        <v>573</v>
      </c>
      <c r="B49" s="220">
        <v>190.2</v>
      </c>
      <c r="C49" s="217">
        <v>2018</v>
      </c>
      <c r="D49" s="220"/>
      <c r="E49" s="220"/>
      <c r="F49" s="220">
        <v>190.2</v>
      </c>
      <c r="G49" s="218">
        <v>190.119</v>
      </c>
      <c r="H49" s="537">
        <v>0</v>
      </c>
    </row>
    <row r="50" spans="1:8" x14ac:dyDescent="0.25">
      <c r="A50" s="477" t="s">
        <v>574</v>
      </c>
      <c r="B50" s="220">
        <v>2000</v>
      </c>
      <c r="C50" s="217">
        <v>2018</v>
      </c>
      <c r="D50" s="220"/>
      <c r="E50" s="220"/>
      <c r="F50" s="220">
        <v>2000</v>
      </c>
      <c r="G50" s="218">
        <v>2000</v>
      </c>
      <c r="H50" s="537"/>
    </row>
    <row r="51" spans="1:8" s="223" customFormat="1" x14ac:dyDescent="0.25">
      <c r="A51" s="477" t="s">
        <v>444</v>
      </c>
      <c r="B51" s="220">
        <v>1800</v>
      </c>
      <c r="C51" s="217">
        <v>2018</v>
      </c>
      <c r="D51" s="220">
        <v>0</v>
      </c>
      <c r="E51" s="220">
        <v>1800</v>
      </c>
      <c r="F51" s="220">
        <v>1862</v>
      </c>
      <c r="G51" s="220">
        <v>1862</v>
      </c>
      <c r="H51" s="537">
        <v>0</v>
      </c>
    </row>
    <row r="52" spans="1:8" s="223" customFormat="1" x14ac:dyDescent="0.25">
      <c r="A52" s="542" t="s">
        <v>481</v>
      </c>
      <c r="B52" s="221">
        <f>B32+B40+SUM(B41:B51)</f>
        <v>624371.19999999995</v>
      </c>
      <c r="C52" s="545"/>
      <c r="D52" s="221">
        <f>D7+D21</f>
        <v>0</v>
      </c>
      <c r="E52" s="221">
        <f>E32+E40+SUM(E41:E51)</f>
        <v>622181</v>
      </c>
      <c r="F52" s="221">
        <f>F32+F40+SUM(F41:F51)</f>
        <v>609567.26599999995</v>
      </c>
      <c r="G52" s="221">
        <f>G32+G40+SUM(G41:G51)</f>
        <v>16849.636999999999</v>
      </c>
      <c r="H52" s="543">
        <v>0</v>
      </c>
    </row>
    <row r="53" spans="1:8" x14ac:dyDescent="0.25">
      <c r="A53" s="534" t="s">
        <v>482</v>
      </c>
      <c r="B53" s="221"/>
      <c r="C53" s="534"/>
      <c r="D53" s="221"/>
      <c r="E53" s="221"/>
      <c r="F53" s="221"/>
      <c r="G53" s="218"/>
      <c r="H53" s="537"/>
    </row>
    <row r="54" spans="1:8" x14ac:dyDescent="0.25">
      <c r="A54" s="477" t="s">
        <v>483</v>
      </c>
      <c r="B54" s="220">
        <v>127</v>
      </c>
      <c r="C54" s="217">
        <v>2018</v>
      </c>
      <c r="D54" s="220"/>
      <c r="E54" s="220">
        <v>127</v>
      </c>
      <c r="F54" s="220">
        <v>147</v>
      </c>
      <c r="G54" s="218"/>
      <c r="H54" s="537">
        <f t="shared" si="0"/>
        <v>0</v>
      </c>
    </row>
    <row r="55" spans="1:8" x14ac:dyDescent="0.25">
      <c r="A55" s="477" t="s">
        <v>499</v>
      </c>
      <c r="B55" s="220"/>
      <c r="C55" s="217"/>
      <c r="D55" s="220"/>
      <c r="E55" s="220"/>
      <c r="F55" s="220"/>
      <c r="G55" s="218">
        <v>86.07</v>
      </c>
      <c r="H55" s="537">
        <f t="shared" si="0"/>
        <v>0</v>
      </c>
    </row>
    <row r="56" spans="1:8" x14ac:dyDescent="0.25">
      <c r="A56" s="477" t="s">
        <v>500</v>
      </c>
      <c r="B56" s="220"/>
      <c r="C56" s="217"/>
      <c r="D56" s="220"/>
      <c r="E56" s="220"/>
      <c r="F56" s="220"/>
      <c r="G56" s="218">
        <v>22.099</v>
      </c>
      <c r="H56" s="537">
        <f t="shared" si="0"/>
        <v>0</v>
      </c>
    </row>
    <row r="57" spans="1:8" x14ac:dyDescent="0.25">
      <c r="A57" s="477" t="s">
        <v>501</v>
      </c>
      <c r="B57" s="220"/>
      <c r="C57" s="217"/>
      <c r="D57" s="220"/>
      <c r="E57" s="220"/>
      <c r="F57" s="220"/>
      <c r="G57" s="218">
        <v>12.5</v>
      </c>
      <c r="H57" s="537">
        <f t="shared" si="0"/>
        <v>0</v>
      </c>
    </row>
    <row r="58" spans="1:8" x14ac:dyDescent="0.25">
      <c r="A58" s="477" t="s">
        <v>523</v>
      </c>
      <c r="B58" s="220"/>
      <c r="C58" s="217"/>
      <c r="D58" s="220"/>
      <c r="E58" s="220"/>
      <c r="F58" s="220"/>
      <c r="G58" s="218">
        <v>9.99</v>
      </c>
      <c r="H58" s="537"/>
    </row>
    <row r="59" spans="1:8" x14ac:dyDescent="0.25">
      <c r="A59" s="477" t="s">
        <v>575</v>
      </c>
      <c r="B59" s="220"/>
      <c r="C59" s="217"/>
      <c r="D59" s="220"/>
      <c r="E59" s="220"/>
      <c r="F59" s="220">
        <v>15.919</v>
      </c>
      <c r="G59" s="218">
        <v>22.86</v>
      </c>
      <c r="H59" s="537"/>
    </row>
    <row r="60" spans="1:8" x14ac:dyDescent="0.25">
      <c r="A60" s="477" t="s">
        <v>576</v>
      </c>
      <c r="B60" s="220"/>
      <c r="C60" s="217"/>
      <c r="D60" s="220"/>
      <c r="E60" s="220"/>
      <c r="F60" s="220">
        <v>20.9</v>
      </c>
      <c r="G60" s="218">
        <v>20.9</v>
      </c>
      <c r="H60" s="537"/>
    </row>
    <row r="61" spans="1:8" x14ac:dyDescent="0.25">
      <c r="A61" s="477" t="s">
        <v>502</v>
      </c>
      <c r="B61" s="220"/>
      <c r="C61" s="217"/>
      <c r="D61" s="220"/>
      <c r="E61" s="220"/>
      <c r="F61" s="220"/>
      <c r="G61" s="218">
        <v>9.4</v>
      </c>
      <c r="H61" s="537">
        <f t="shared" si="0"/>
        <v>0</v>
      </c>
    </row>
    <row r="62" spans="1:8" x14ac:dyDescent="0.25">
      <c r="A62" s="546" t="s">
        <v>484</v>
      </c>
      <c r="B62" s="221">
        <v>127</v>
      </c>
      <c r="C62" s="534"/>
      <c r="D62" s="221"/>
      <c r="E62" s="221">
        <f>SUM(E54:E54)</f>
        <v>127</v>
      </c>
      <c r="F62" s="221">
        <f>SUM(F54:F61)</f>
        <v>183.81900000000002</v>
      </c>
      <c r="G62" s="219">
        <f>SUM(G55:G61)</f>
        <v>183.81900000000002</v>
      </c>
      <c r="H62" s="537">
        <f t="shared" si="0"/>
        <v>0</v>
      </c>
    </row>
    <row r="63" spans="1:8" x14ac:dyDescent="0.25">
      <c r="A63" s="534" t="s">
        <v>485</v>
      </c>
      <c r="B63" s="220"/>
      <c r="C63" s="217"/>
      <c r="D63" s="220"/>
      <c r="E63" s="220"/>
      <c r="F63" s="220"/>
      <c r="G63" s="218"/>
      <c r="H63" s="537"/>
    </row>
    <row r="64" spans="1:8" x14ac:dyDescent="0.25">
      <c r="A64" s="477" t="s">
        <v>483</v>
      </c>
      <c r="B64" s="220"/>
      <c r="C64" s="217">
        <v>2018</v>
      </c>
      <c r="D64" s="220"/>
      <c r="E64" s="220">
        <v>127</v>
      </c>
      <c r="F64" s="220"/>
      <c r="G64" s="218"/>
      <c r="H64" s="537">
        <v>0</v>
      </c>
    </row>
    <row r="65" spans="1:8" x14ac:dyDescent="0.25">
      <c r="A65" s="477" t="s">
        <v>501</v>
      </c>
      <c r="B65" s="218">
        <v>16.899999999999999</v>
      </c>
      <c r="C65" s="217"/>
      <c r="D65" s="220"/>
      <c r="E65" s="220"/>
      <c r="F65" s="218">
        <v>16.899999999999999</v>
      </c>
      <c r="G65" s="218">
        <v>16.899999999999999</v>
      </c>
      <c r="H65" s="537">
        <v>0</v>
      </c>
    </row>
    <row r="66" spans="1:8" x14ac:dyDescent="0.25">
      <c r="A66" s="477" t="s">
        <v>584</v>
      </c>
      <c r="B66" s="218">
        <v>68.099999999999994</v>
      </c>
      <c r="C66" s="217"/>
      <c r="D66" s="220"/>
      <c r="E66" s="220"/>
      <c r="F66" s="218">
        <v>68.099999999999994</v>
      </c>
      <c r="G66" s="218">
        <v>68.099999999999994</v>
      </c>
      <c r="H66" s="537">
        <v>0</v>
      </c>
    </row>
    <row r="67" spans="1:8" x14ac:dyDescent="0.25">
      <c r="A67" s="477" t="s">
        <v>585</v>
      </c>
      <c r="B67" s="218">
        <v>26.5</v>
      </c>
      <c r="C67" s="217"/>
      <c r="D67" s="220"/>
      <c r="E67" s="220"/>
      <c r="F67" s="218">
        <v>26.5</v>
      </c>
      <c r="G67" s="218">
        <v>26.5</v>
      </c>
      <c r="H67" s="537">
        <v>0</v>
      </c>
    </row>
    <row r="68" spans="1:8" x14ac:dyDescent="0.25">
      <c r="A68" s="477" t="s">
        <v>586</v>
      </c>
      <c r="B68" s="218">
        <v>42.47</v>
      </c>
      <c r="C68" s="217"/>
      <c r="D68" s="220"/>
      <c r="E68" s="220"/>
      <c r="F68" s="218">
        <v>42.47</v>
      </c>
      <c r="G68" s="218">
        <v>42.47</v>
      </c>
      <c r="H68" s="537">
        <v>0</v>
      </c>
    </row>
    <row r="69" spans="1:8" x14ac:dyDescent="0.25">
      <c r="A69" s="477" t="s">
        <v>587</v>
      </c>
      <c r="B69" s="218">
        <v>13.395</v>
      </c>
      <c r="C69" s="217"/>
      <c r="D69" s="220"/>
      <c r="E69" s="220"/>
      <c r="F69" s="218">
        <v>13.395</v>
      </c>
      <c r="G69" s="218">
        <v>13.395</v>
      </c>
      <c r="H69" s="537">
        <v>0</v>
      </c>
    </row>
    <row r="70" spans="1:8" x14ac:dyDescent="0.25">
      <c r="A70" s="477" t="s">
        <v>588</v>
      </c>
      <c r="B70" s="218">
        <v>11.795999999999999</v>
      </c>
      <c r="C70" s="217"/>
      <c r="D70" s="220"/>
      <c r="E70" s="220"/>
      <c r="F70" s="218">
        <v>11.795999999999999</v>
      </c>
      <c r="G70" s="218">
        <v>11.795999999999999</v>
      </c>
      <c r="H70" s="537">
        <v>0</v>
      </c>
    </row>
    <row r="71" spans="1:8" x14ac:dyDescent="0.25">
      <c r="A71" s="477" t="s">
        <v>589</v>
      </c>
      <c r="B71" s="218">
        <v>9.4450000000000003</v>
      </c>
      <c r="C71" s="217"/>
      <c r="D71" s="220"/>
      <c r="E71" s="220"/>
      <c r="F71" s="218">
        <v>9.4450000000000003</v>
      </c>
      <c r="G71" s="218">
        <v>9.4450000000000003</v>
      </c>
      <c r="H71" s="537">
        <v>0</v>
      </c>
    </row>
    <row r="72" spans="1:8" x14ac:dyDescent="0.25">
      <c r="A72" s="477" t="s">
        <v>590</v>
      </c>
      <c r="B72" s="218">
        <v>9.4450000000000003</v>
      </c>
      <c r="C72" s="217"/>
      <c r="D72" s="220"/>
      <c r="E72" s="220"/>
      <c r="F72" s="218">
        <v>9.4450000000000003</v>
      </c>
      <c r="G72" s="218">
        <v>9.4450000000000003</v>
      </c>
      <c r="H72" s="537">
        <v>0</v>
      </c>
    </row>
    <row r="73" spans="1:8" x14ac:dyDescent="0.25">
      <c r="A73" s="477" t="s">
        <v>591</v>
      </c>
      <c r="B73" s="218">
        <v>2.6589999999999998</v>
      </c>
      <c r="C73" s="217"/>
      <c r="D73" s="220"/>
      <c r="E73" s="220"/>
      <c r="F73" s="218">
        <v>2.6589999999999998</v>
      </c>
      <c r="G73" s="218">
        <v>2.6589999999999998</v>
      </c>
      <c r="H73" s="537">
        <v>0</v>
      </c>
    </row>
    <row r="74" spans="1:8" x14ac:dyDescent="0.25">
      <c r="A74" s="477" t="s">
        <v>592</v>
      </c>
      <c r="B74" s="218">
        <v>3.88</v>
      </c>
      <c r="C74" s="217"/>
      <c r="D74" s="220"/>
      <c r="E74" s="220"/>
      <c r="F74" s="218">
        <v>3.88</v>
      </c>
      <c r="G74" s="218">
        <v>3.88</v>
      </c>
      <c r="H74" s="537">
        <v>0</v>
      </c>
    </row>
    <row r="75" spans="1:8" x14ac:dyDescent="0.25">
      <c r="A75" s="477" t="s">
        <v>593</v>
      </c>
      <c r="B75" s="218">
        <v>59</v>
      </c>
      <c r="C75" s="217"/>
      <c r="D75" s="220"/>
      <c r="E75" s="220"/>
      <c r="F75" s="218">
        <v>59</v>
      </c>
      <c r="G75" s="218">
        <v>59</v>
      </c>
      <c r="H75" s="537">
        <v>0</v>
      </c>
    </row>
    <row r="76" spans="1:8" x14ac:dyDescent="0.25">
      <c r="A76" s="477" t="s">
        <v>579</v>
      </c>
      <c r="B76" s="218">
        <v>9.5500000000000007</v>
      </c>
      <c r="C76" s="217"/>
      <c r="D76" s="220"/>
      <c r="E76" s="220"/>
      <c r="F76" s="218">
        <v>9.5500000000000007</v>
      </c>
      <c r="G76" s="218">
        <v>9.5500000000000007</v>
      </c>
      <c r="H76" s="537">
        <v>0</v>
      </c>
    </row>
    <row r="77" spans="1:8" s="223" customFormat="1" x14ac:dyDescent="0.25">
      <c r="A77" s="477" t="s">
        <v>503</v>
      </c>
      <c r="B77" s="218">
        <v>11.9</v>
      </c>
      <c r="C77" s="217">
        <v>2018</v>
      </c>
      <c r="D77" s="220"/>
      <c r="E77" s="220"/>
      <c r="F77" s="218">
        <v>11.9</v>
      </c>
      <c r="G77" s="218">
        <v>11.9</v>
      </c>
      <c r="H77" s="537">
        <v>0</v>
      </c>
    </row>
    <row r="78" spans="1:8" x14ac:dyDescent="0.25">
      <c r="A78" s="546" t="s">
        <v>486</v>
      </c>
      <c r="B78" s="221">
        <f>SUM(B65:B77)</f>
        <v>285.03999999999996</v>
      </c>
      <c r="C78" s="217"/>
      <c r="D78" s="220"/>
      <c r="E78" s="221">
        <v>127</v>
      </c>
      <c r="F78" s="221">
        <f>SUM(F65:F77)</f>
        <v>285.03999999999996</v>
      </c>
      <c r="G78" s="219">
        <f>SUM(G65:G77)</f>
        <v>285.03999999999996</v>
      </c>
      <c r="H78" s="537">
        <v>0</v>
      </c>
    </row>
    <row r="79" spans="1:8" s="223" customFormat="1" x14ac:dyDescent="0.25">
      <c r="A79" s="534" t="s">
        <v>487</v>
      </c>
      <c r="B79" s="220"/>
      <c r="C79" s="217"/>
      <c r="D79" s="220"/>
      <c r="E79" s="220"/>
      <c r="F79" s="220"/>
      <c r="G79" s="219"/>
      <c r="H79" s="537">
        <v>0</v>
      </c>
    </row>
    <row r="80" spans="1:8" x14ac:dyDescent="0.25">
      <c r="A80" s="477" t="s">
        <v>483</v>
      </c>
      <c r="B80" s="220"/>
      <c r="C80" s="217">
        <v>2018</v>
      </c>
      <c r="D80" s="220"/>
      <c r="E80" s="220">
        <v>127</v>
      </c>
      <c r="F80" s="220">
        <v>227</v>
      </c>
      <c r="G80" s="218"/>
      <c r="H80" s="537" t="s">
        <v>268</v>
      </c>
    </row>
    <row r="81" spans="1:8" x14ac:dyDescent="0.25">
      <c r="A81" s="477" t="s">
        <v>577</v>
      </c>
      <c r="B81" s="220">
        <v>69.95</v>
      </c>
      <c r="C81" s="217">
        <v>2018</v>
      </c>
      <c r="D81" s="220"/>
      <c r="E81" s="220"/>
      <c r="F81" s="220">
        <v>69.95</v>
      </c>
      <c r="G81" s="218">
        <v>69.95</v>
      </c>
      <c r="H81" s="537">
        <v>0</v>
      </c>
    </row>
    <row r="82" spans="1:8" x14ac:dyDescent="0.25">
      <c r="A82" s="477" t="s">
        <v>578</v>
      </c>
      <c r="B82" s="220">
        <v>49.9</v>
      </c>
      <c r="C82" s="217">
        <v>2018</v>
      </c>
      <c r="D82" s="220"/>
      <c r="E82" s="220"/>
      <c r="F82" s="220">
        <v>49.9</v>
      </c>
      <c r="G82" s="218">
        <v>49.9</v>
      </c>
      <c r="H82" s="537">
        <v>0</v>
      </c>
    </row>
    <row r="83" spans="1:8" x14ac:dyDescent="0.25">
      <c r="A83" s="477" t="s">
        <v>579</v>
      </c>
      <c r="B83" s="220">
        <v>9.8800000000000008</v>
      </c>
      <c r="C83" s="217">
        <v>2018</v>
      </c>
      <c r="D83" s="220"/>
      <c r="E83" s="220"/>
      <c r="F83" s="220">
        <v>9.8800000000000008</v>
      </c>
      <c r="G83" s="218">
        <v>9.8800000000000008</v>
      </c>
      <c r="H83" s="537">
        <v>0</v>
      </c>
    </row>
    <row r="84" spans="1:8" x14ac:dyDescent="0.25">
      <c r="A84" s="477" t="s">
        <v>580</v>
      </c>
      <c r="B84" s="220">
        <v>863.6</v>
      </c>
      <c r="C84" s="217">
        <v>2018</v>
      </c>
      <c r="D84" s="220"/>
      <c r="E84" s="220"/>
      <c r="F84" s="220">
        <v>863.6</v>
      </c>
      <c r="G84" s="218">
        <v>863.6</v>
      </c>
      <c r="H84" s="537">
        <v>0</v>
      </c>
    </row>
    <row r="85" spans="1:8" x14ac:dyDescent="0.25">
      <c r="A85" s="477" t="s">
        <v>582</v>
      </c>
      <c r="B85" s="220">
        <v>195</v>
      </c>
      <c r="C85" s="217">
        <v>2018</v>
      </c>
      <c r="D85" s="220"/>
      <c r="E85" s="220"/>
      <c r="F85" s="220">
        <v>2.2149999999999999</v>
      </c>
      <c r="G85" s="218">
        <v>195</v>
      </c>
      <c r="H85" s="537"/>
    </row>
    <row r="86" spans="1:8" x14ac:dyDescent="0.25">
      <c r="A86" s="477" t="s">
        <v>581</v>
      </c>
      <c r="B86" s="220">
        <v>34.215000000000003</v>
      </c>
      <c r="C86" s="217">
        <v>2018</v>
      </c>
      <c r="D86" s="220"/>
      <c r="E86" s="220"/>
      <c r="F86" s="220"/>
      <c r="G86" s="218">
        <v>34.215000000000003</v>
      </c>
      <c r="H86" s="537">
        <v>0</v>
      </c>
    </row>
    <row r="87" spans="1:8" x14ac:dyDescent="0.25">
      <c r="A87" s="546" t="s">
        <v>488</v>
      </c>
      <c r="B87" s="221">
        <f>SUM(B80:B80)</f>
        <v>0</v>
      </c>
      <c r="C87" s="545"/>
      <c r="D87" s="221">
        <f>SUM(D80:D80)</f>
        <v>0</v>
      </c>
      <c r="E87" s="221">
        <f>SUM(E80:E80)</f>
        <v>127</v>
      </c>
      <c r="F87" s="221">
        <f>SUM(F80:F86)</f>
        <v>1222.5449999999998</v>
      </c>
      <c r="G87" s="219">
        <f>SUM(G80:G86)</f>
        <v>1222.5449999999998</v>
      </c>
      <c r="H87" s="537"/>
    </row>
    <row r="88" spans="1:8" x14ac:dyDescent="0.25">
      <c r="A88" s="534" t="s">
        <v>344</v>
      </c>
      <c r="B88" s="220"/>
      <c r="C88" s="217"/>
      <c r="D88" s="220"/>
      <c r="E88" s="220"/>
      <c r="F88" s="220"/>
      <c r="G88" s="218"/>
      <c r="H88" s="537"/>
    </row>
    <row r="89" spans="1:8" x14ac:dyDescent="0.25">
      <c r="A89" s="477" t="s">
        <v>483</v>
      </c>
      <c r="B89" s="220"/>
      <c r="C89" s="217">
        <v>2018</v>
      </c>
      <c r="D89" s="220"/>
      <c r="E89" s="220">
        <v>127</v>
      </c>
      <c r="F89" s="220"/>
      <c r="G89" s="218"/>
      <c r="H89" s="537"/>
    </row>
    <row r="90" spans="1:8" x14ac:dyDescent="0.25">
      <c r="A90" s="477" t="s">
        <v>504</v>
      </c>
      <c r="B90" s="220">
        <v>99.713999999999999</v>
      </c>
      <c r="C90" s="217"/>
      <c r="D90" s="220"/>
      <c r="E90" s="220"/>
      <c r="F90" s="220">
        <v>99.713999999999999</v>
      </c>
      <c r="G90" s="218">
        <v>99.713999999999999</v>
      </c>
      <c r="H90" s="537">
        <f t="shared" si="0"/>
        <v>99.713999999999999</v>
      </c>
    </row>
    <row r="91" spans="1:8" x14ac:dyDescent="0.25">
      <c r="A91" s="477" t="s">
        <v>583</v>
      </c>
      <c r="B91" s="220">
        <v>38.9</v>
      </c>
      <c r="C91" s="217"/>
      <c r="D91" s="220"/>
      <c r="E91" s="220"/>
      <c r="F91" s="220">
        <v>38.9</v>
      </c>
      <c r="G91" s="218">
        <v>38.9</v>
      </c>
      <c r="H91" s="537"/>
    </row>
    <row r="92" spans="1:8" x14ac:dyDescent="0.25">
      <c r="A92" s="477" t="s">
        <v>529</v>
      </c>
      <c r="B92" s="220">
        <v>63.5</v>
      </c>
      <c r="C92" s="217"/>
      <c r="D92" s="220"/>
      <c r="E92" s="220"/>
      <c r="F92" s="220">
        <v>63.5</v>
      </c>
      <c r="G92" s="218">
        <v>63.5</v>
      </c>
      <c r="H92" s="537">
        <f t="shared" si="0"/>
        <v>63.5</v>
      </c>
    </row>
    <row r="93" spans="1:8" ht="16.5" thickBot="1" x14ac:dyDescent="0.3">
      <c r="A93" s="547" t="s">
        <v>489</v>
      </c>
      <c r="B93" s="548">
        <f>SUM(B90:B92)</f>
        <v>202.114</v>
      </c>
      <c r="C93" s="549"/>
      <c r="D93" s="548">
        <v>0</v>
      </c>
      <c r="E93" s="548">
        <f>SUM(E89:E89)</f>
        <v>127</v>
      </c>
      <c r="F93" s="548">
        <f>SUM(F89:F92)</f>
        <v>202.114</v>
      </c>
      <c r="G93" s="550">
        <f>SUM(G89:G92)</f>
        <v>202.114</v>
      </c>
      <c r="H93" s="551">
        <v>0</v>
      </c>
    </row>
    <row r="94" spans="1:8" ht="16.5" thickBot="1" x14ac:dyDescent="0.3">
      <c r="A94" s="552" t="s">
        <v>304</v>
      </c>
      <c r="B94" s="553">
        <f>B52+B62+B78+B87+B93</f>
        <v>624985.35399999993</v>
      </c>
      <c r="C94" s="553"/>
      <c r="D94" s="553">
        <f>D52+D53+D87</f>
        <v>0</v>
      </c>
      <c r="E94" s="553">
        <f>E52+E62+E78+E87+E93</f>
        <v>622689</v>
      </c>
      <c r="F94" s="553">
        <f>F52+F62+F78+F87+F93</f>
        <v>611460.78399999999</v>
      </c>
      <c r="G94" s="553">
        <f>G52+G62+G78+G87+G93</f>
        <v>18743.154999999999</v>
      </c>
      <c r="H94" s="554">
        <v>0</v>
      </c>
    </row>
  </sheetData>
  <mergeCells count="3">
    <mergeCell ref="A1:H1"/>
    <mergeCell ref="A3:H3"/>
    <mergeCell ref="E4:H4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workbookViewId="0">
      <selection activeCell="A2" sqref="A2"/>
    </sheetView>
  </sheetViews>
  <sheetFormatPr defaultRowHeight="15.75" x14ac:dyDescent="0.25"/>
  <cols>
    <col min="1" max="1" width="53.42578125" style="2" customWidth="1"/>
    <col min="2" max="2" width="14.42578125" style="2" customWidth="1"/>
    <col min="3" max="3" width="19" style="2" customWidth="1"/>
    <col min="4" max="4" width="12" style="2" customWidth="1"/>
    <col min="5" max="7" width="11.42578125" style="2" customWidth="1"/>
    <col min="8" max="8" width="12.85546875" style="2" customWidth="1"/>
    <col min="9" max="16384" width="9.140625" style="2"/>
  </cols>
  <sheetData>
    <row r="1" spans="1:8" x14ac:dyDescent="0.25">
      <c r="A1" s="825" t="s">
        <v>1031</v>
      </c>
      <c r="B1" s="825"/>
      <c r="C1" s="825"/>
      <c r="D1" s="825"/>
      <c r="E1" s="825"/>
      <c r="F1" s="825"/>
      <c r="G1" s="825"/>
      <c r="H1" s="825"/>
    </row>
    <row r="3" spans="1:8" s="40" customFormat="1" ht="29.25" customHeight="1" x14ac:dyDescent="0.25">
      <c r="A3" s="881" t="s">
        <v>557</v>
      </c>
      <c r="B3" s="882"/>
      <c r="C3" s="882"/>
      <c r="D3" s="882"/>
      <c r="E3" s="882"/>
      <c r="F3" s="882"/>
      <c r="G3" s="882"/>
      <c r="H3" s="882"/>
    </row>
    <row r="4" spans="1:8" ht="16.5" thickBot="1" x14ac:dyDescent="0.3">
      <c r="E4" s="825" t="s">
        <v>343</v>
      </c>
      <c r="F4" s="825"/>
      <c r="G4" s="825"/>
      <c r="H4" s="825"/>
    </row>
    <row r="5" spans="1:8" s="40" customFormat="1" ht="48" thickBot="1" x14ac:dyDescent="0.3">
      <c r="A5" s="43" t="s">
        <v>193</v>
      </c>
      <c r="B5" s="41" t="s">
        <v>190</v>
      </c>
      <c r="C5" s="44" t="s">
        <v>191</v>
      </c>
      <c r="D5" s="44" t="s">
        <v>325</v>
      </c>
      <c r="E5" s="44" t="s">
        <v>390</v>
      </c>
      <c r="F5" s="216" t="s">
        <v>413</v>
      </c>
      <c r="G5" s="216" t="s">
        <v>414</v>
      </c>
      <c r="H5" s="42" t="s">
        <v>415</v>
      </c>
    </row>
    <row r="6" spans="1:8" x14ac:dyDescent="0.25">
      <c r="A6" s="114"/>
      <c r="B6" s="8"/>
      <c r="C6" s="8"/>
      <c r="D6" s="8"/>
      <c r="E6" s="8"/>
      <c r="F6" s="8"/>
      <c r="G6" s="159"/>
      <c r="H6" s="4"/>
    </row>
    <row r="7" spans="1:8" x14ac:dyDescent="0.25">
      <c r="A7" s="8" t="s">
        <v>490</v>
      </c>
      <c r="B7" s="153">
        <v>524.00300000000004</v>
      </c>
      <c r="C7" s="32">
        <v>2018</v>
      </c>
      <c r="D7" s="153">
        <v>0</v>
      </c>
      <c r="E7" s="153">
        <v>500</v>
      </c>
      <c r="F7" s="153">
        <v>524.20000000000005</v>
      </c>
      <c r="G7" s="160">
        <v>524.00300000000004</v>
      </c>
      <c r="H7" s="10"/>
    </row>
    <row r="8" spans="1:8" x14ac:dyDescent="0.25">
      <c r="A8" s="4" t="s">
        <v>491</v>
      </c>
      <c r="B8" s="159">
        <v>20320</v>
      </c>
      <c r="C8" s="115">
        <v>2018</v>
      </c>
      <c r="D8" s="154">
        <v>0</v>
      </c>
      <c r="E8" s="159">
        <v>19925</v>
      </c>
      <c r="F8" s="159">
        <v>20320</v>
      </c>
      <c r="G8" s="160">
        <v>20320</v>
      </c>
      <c r="H8" s="10"/>
    </row>
    <row r="9" spans="1:8" x14ac:dyDescent="0.25">
      <c r="A9" s="4" t="s">
        <v>492</v>
      </c>
      <c r="B9" s="160">
        <v>1211.58</v>
      </c>
      <c r="C9" s="115">
        <v>2018</v>
      </c>
      <c r="D9" s="154">
        <v>0</v>
      </c>
      <c r="E9" s="160">
        <v>1029</v>
      </c>
      <c r="F9" s="160">
        <v>1211.5999999999999</v>
      </c>
      <c r="G9" s="160">
        <v>1211.58</v>
      </c>
      <c r="H9" s="10"/>
    </row>
    <row r="10" spans="1:8" x14ac:dyDescent="0.25">
      <c r="A10" s="4" t="s">
        <v>493</v>
      </c>
      <c r="B10" s="160">
        <v>1583.69</v>
      </c>
      <c r="C10" s="116">
        <v>2018</v>
      </c>
      <c r="D10" s="155">
        <v>0</v>
      </c>
      <c r="E10" s="160">
        <v>1189</v>
      </c>
      <c r="F10" s="160">
        <v>1583.7</v>
      </c>
      <c r="G10" s="160">
        <v>1583.69</v>
      </c>
      <c r="H10" s="10"/>
    </row>
    <row r="11" spans="1:8" x14ac:dyDescent="0.25">
      <c r="A11" s="10" t="s">
        <v>594</v>
      </c>
      <c r="B11" s="160">
        <v>35</v>
      </c>
      <c r="C11" s="116">
        <v>2018</v>
      </c>
      <c r="D11" s="155"/>
      <c r="E11" s="160"/>
      <c r="F11" s="160">
        <v>35.1</v>
      </c>
      <c r="G11" s="160">
        <v>35</v>
      </c>
      <c r="H11" s="10"/>
    </row>
    <row r="12" spans="1:8" ht="31.5" x14ac:dyDescent="0.25">
      <c r="A12" s="478" t="s">
        <v>494</v>
      </c>
      <c r="B12" s="160">
        <v>1123.5360000000001</v>
      </c>
      <c r="C12" s="35">
        <v>2018</v>
      </c>
      <c r="D12" s="155">
        <v>0</v>
      </c>
      <c r="E12" s="160"/>
      <c r="F12" s="160">
        <v>1158.9359999999999</v>
      </c>
      <c r="G12" s="160">
        <f>186+738.217+199.319</f>
        <v>1123.5360000000001</v>
      </c>
      <c r="H12" s="10"/>
    </row>
    <row r="13" spans="1:8" x14ac:dyDescent="0.25">
      <c r="A13" s="478" t="s">
        <v>595</v>
      </c>
      <c r="B13" s="160">
        <v>313.69</v>
      </c>
      <c r="C13" s="35">
        <v>2018</v>
      </c>
      <c r="D13" s="155"/>
      <c r="E13" s="160"/>
      <c r="F13" s="160">
        <v>313.95999999999998</v>
      </c>
      <c r="G13" s="160">
        <v>313.69</v>
      </c>
      <c r="H13" s="10"/>
    </row>
    <row r="14" spans="1:8" ht="16.5" thickBot="1" x14ac:dyDescent="0.3">
      <c r="A14" s="10" t="s">
        <v>495</v>
      </c>
      <c r="B14" s="160"/>
      <c r="C14" s="35">
        <v>2018</v>
      </c>
      <c r="D14" s="155">
        <v>0</v>
      </c>
      <c r="E14" s="160"/>
      <c r="F14" s="160">
        <v>2708.8159999999998</v>
      </c>
      <c r="G14" s="160"/>
      <c r="H14" s="10"/>
    </row>
    <row r="15" spans="1:8" ht="16.5" thickBot="1" x14ac:dyDescent="0.3">
      <c r="A15" s="37" t="s">
        <v>192</v>
      </c>
      <c r="B15" s="490">
        <f>SUM(B7:B14)</f>
        <v>25111.498999999996</v>
      </c>
      <c r="C15" s="9"/>
      <c r="D15" s="157">
        <f>SUM(D8:D14)</f>
        <v>0</v>
      </c>
      <c r="E15" s="490">
        <f>SUM(E7:E14)</f>
        <v>22643</v>
      </c>
      <c r="F15" s="491">
        <f>SUM(F7:F14)</f>
        <v>27856.311999999998</v>
      </c>
      <c r="G15" s="491">
        <f>SUM(G7:G14)</f>
        <v>25111.498999999996</v>
      </c>
      <c r="H15" s="492"/>
    </row>
  </sheetData>
  <mergeCells count="3">
    <mergeCell ref="A1:H1"/>
    <mergeCell ref="A3:H3"/>
    <mergeCell ref="E4:H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A2" sqref="A2"/>
    </sheetView>
  </sheetViews>
  <sheetFormatPr defaultRowHeight="15" x14ac:dyDescent="0.25"/>
  <cols>
    <col min="1" max="1" width="13.42578125" customWidth="1"/>
    <col min="2" max="2" width="30.5703125" customWidth="1"/>
    <col min="3" max="6" width="24.85546875" customWidth="1"/>
  </cols>
  <sheetData>
    <row r="1" spans="1:6" ht="15.75" x14ac:dyDescent="0.25">
      <c r="A1" s="825" t="s">
        <v>1032</v>
      </c>
      <c r="B1" s="825"/>
      <c r="C1" s="825"/>
      <c r="D1" s="825"/>
      <c r="E1" s="825"/>
      <c r="F1" s="825"/>
    </row>
    <row r="2" spans="1:6" ht="15.75" x14ac:dyDescent="0.25">
      <c r="A2" s="527"/>
      <c r="B2" s="2"/>
      <c r="C2" s="2"/>
      <c r="D2" s="2"/>
      <c r="E2" s="2"/>
      <c r="F2" s="2"/>
    </row>
    <row r="3" spans="1:6" ht="15.75" x14ac:dyDescent="0.25">
      <c r="A3" s="881" t="s">
        <v>601</v>
      </c>
      <c r="B3" s="882"/>
      <c r="C3" s="882"/>
      <c r="D3" s="882"/>
      <c r="E3" s="882"/>
      <c r="F3" s="882"/>
    </row>
    <row r="4" spans="1:6" ht="15.75" x14ac:dyDescent="0.25">
      <c r="A4" s="527"/>
      <c r="B4" s="2"/>
      <c r="C4" s="2"/>
      <c r="D4" s="2"/>
      <c r="E4" s="2"/>
      <c r="F4" s="2"/>
    </row>
    <row r="5" spans="1:6" ht="16.5" thickBot="1" x14ac:dyDescent="0.3">
      <c r="A5" s="527"/>
      <c r="B5" s="2"/>
      <c r="C5" s="2"/>
      <c r="D5" s="2"/>
      <c r="E5" s="2"/>
      <c r="F5" s="2" t="s">
        <v>596</v>
      </c>
    </row>
    <row r="6" spans="1:6" ht="15.75" x14ac:dyDescent="0.25">
      <c r="A6" s="883" t="s">
        <v>4</v>
      </c>
      <c r="B6" s="885" t="s">
        <v>187</v>
      </c>
      <c r="C6" s="885" t="s">
        <v>597</v>
      </c>
      <c r="D6" s="885"/>
      <c r="E6" s="885"/>
      <c r="F6" s="887"/>
    </row>
    <row r="7" spans="1:6" ht="32.25" thickBot="1" x14ac:dyDescent="0.3">
      <c r="A7" s="884"/>
      <c r="B7" s="886"/>
      <c r="C7" s="555" t="s">
        <v>602</v>
      </c>
      <c r="D7" s="555" t="s">
        <v>603</v>
      </c>
      <c r="E7" s="555">
        <v>2020</v>
      </c>
      <c r="F7" s="556" t="s">
        <v>599</v>
      </c>
    </row>
    <row r="8" spans="1:6" ht="16.5" thickBot="1" x14ac:dyDescent="0.3">
      <c r="A8" s="33" t="s">
        <v>148</v>
      </c>
      <c r="B8" s="34" t="s">
        <v>171</v>
      </c>
      <c r="C8" s="34" t="s">
        <v>149</v>
      </c>
      <c r="D8" s="34" t="s">
        <v>150</v>
      </c>
      <c r="E8" s="34" t="s">
        <v>151</v>
      </c>
      <c r="F8" s="557" t="s">
        <v>188</v>
      </c>
    </row>
    <row r="9" spans="1:6" ht="15.75" x14ac:dyDescent="0.25">
      <c r="A9" s="32" t="s">
        <v>3</v>
      </c>
      <c r="B9" s="8" t="s">
        <v>604</v>
      </c>
      <c r="C9" s="558">
        <v>93000</v>
      </c>
      <c r="D9" s="558">
        <v>6350000</v>
      </c>
      <c r="E9" s="558">
        <v>6200000</v>
      </c>
      <c r="F9" s="558">
        <f>SUM(C9:E9)</f>
        <v>12643000</v>
      </c>
    </row>
    <row r="10" spans="1:6" ht="15.75" x14ac:dyDescent="0.25">
      <c r="A10" s="31" t="s">
        <v>5</v>
      </c>
      <c r="B10" s="4"/>
      <c r="C10" s="559"/>
      <c r="D10" s="559"/>
      <c r="E10" s="559"/>
      <c r="F10" s="559"/>
    </row>
    <row r="11" spans="1:6" ht="15.75" x14ac:dyDescent="0.25">
      <c r="A11" s="31" t="s">
        <v>15</v>
      </c>
      <c r="B11" s="4"/>
      <c r="C11" s="559"/>
      <c r="D11" s="559"/>
      <c r="E11" s="559"/>
      <c r="F11" s="559"/>
    </row>
    <row r="12" spans="1:6" ht="15.75" x14ac:dyDescent="0.25">
      <c r="A12" s="31" t="s">
        <v>20</v>
      </c>
      <c r="B12" s="4"/>
      <c r="C12" s="559"/>
      <c r="D12" s="559"/>
      <c r="E12" s="559"/>
      <c r="F12" s="559"/>
    </row>
    <row r="13" spans="1:6" ht="16.5" thickBot="1" x14ac:dyDescent="0.3">
      <c r="A13" s="35" t="s">
        <v>29</v>
      </c>
      <c r="B13" s="10"/>
      <c r="C13" s="560"/>
      <c r="D13" s="560"/>
      <c r="E13" s="560"/>
      <c r="F13" s="560"/>
    </row>
    <row r="14" spans="1:6" ht="16.5" thickBot="1" x14ac:dyDescent="0.3">
      <c r="A14" s="33" t="s">
        <v>52</v>
      </c>
      <c r="B14" s="9" t="s">
        <v>600</v>
      </c>
      <c r="C14" s="561">
        <f>SUM(C9:C13)</f>
        <v>93000</v>
      </c>
      <c r="D14" s="561">
        <f t="shared" ref="D14:F14" si="0">SUM(D9:D13)</f>
        <v>6350000</v>
      </c>
      <c r="E14" s="561">
        <f t="shared" si="0"/>
        <v>6200000</v>
      </c>
      <c r="F14" s="561">
        <f t="shared" si="0"/>
        <v>12643000</v>
      </c>
    </row>
    <row r="15" spans="1:6" ht="15.75" x14ac:dyDescent="0.25">
      <c r="A15" s="527"/>
      <c r="B15" s="2"/>
      <c r="C15" s="2"/>
      <c r="D15" s="2"/>
      <c r="E15" s="2"/>
      <c r="F15" s="2"/>
    </row>
    <row r="16" spans="1:6" ht="15.75" x14ac:dyDescent="0.25">
      <c r="A16" s="527"/>
      <c r="B16" s="2"/>
      <c r="C16" s="2"/>
      <c r="D16" s="2"/>
      <c r="E16" s="2"/>
      <c r="F16" s="2"/>
    </row>
  </sheetData>
  <mergeCells count="5">
    <mergeCell ref="A1:F1"/>
    <mergeCell ref="A3:F3"/>
    <mergeCell ref="A6:A7"/>
    <mergeCell ref="B6:B7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3"/>
  <sheetViews>
    <sheetView view="pageBreakPreview" zoomScaleNormal="100" zoomScaleSheetLayoutView="100" workbookViewId="0">
      <selection activeCell="A2" sqref="A2:F2"/>
    </sheetView>
  </sheetViews>
  <sheetFormatPr defaultRowHeight="15" x14ac:dyDescent="0.25"/>
  <cols>
    <col min="1" max="1" width="6.85546875" style="444" customWidth="1"/>
    <col min="2" max="2" width="60.42578125" style="360" customWidth="1"/>
    <col min="3" max="3" width="17.7109375" style="370" customWidth="1"/>
    <col min="4" max="4" width="15.28515625" style="429" customWidth="1"/>
    <col min="5" max="5" width="13.7109375" style="370" bestFit="1" customWidth="1"/>
    <col min="6" max="6" width="10.5703125" style="362" bestFit="1" customWidth="1"/>
    <col min="7" max="16384" width="9.140625" style="360"/>
  </cols>
  <sheetData>
    <row r="1" spans="1:7" x14ac:dyDescent="0.25">
      <c r="A1" s="821" t="s">
        <v>1015</v>
      </c>
      <c r="B1" s="821"/>
      <c r="C1" s="821"/>
      <c r="D1" s="821"/>
      <c r="E1" s="821"/>
      <c r="F1" s="821"/>
    </row>
    <row r="2" spans="1:7" s="180" customFormat="1" ht="14.25" x14ac:dyDescent="0.2">
      <c r="A2" s="822" t="s">
        <v>0</v>
      </c>
      <c r="B2" s="822"/>
      <c r="C2" s="822"/>
      <c r="D2" s="822"/>
      <c r="E2" s="822"/>
      <c r="F2" s="822"/>
    </row>
    <row r="3" spans="1:7" s="180" customFormat="1" ht="14.25" x14ac:dyDescent="0.2">
      <c r="A3" s="822" t="s">
        <v>394</v>
      </c>
      <c r="B3" s="822"/>
      <c r="C3" s="822"/>
      <c r="D3" s="822"/>
      <c r="E3" s="822"/>
      <c r="F3" s="822"/>
    </row>
    <row r="4" spans="1:7" s="180" customFormat="1" ht="15.75" x14ac:dyDescent="0.25">
      <c r="A4" s="818" t="s">
        <v>545</v>
      </c>
      <c r="B4" s="818"/>
      <c r="C4" s="818"/>
      <c r="D4" s="818"/>
      <c r="E4" s="818"/>
      <c r="F4" s="818"/>
      <c r="G4" s="818"/>
    </row>
    <row r="5" spans="1:7" s="180" customFormat="1" ht="14.25" x14ac:dyDescent="0.2">
      <c r="A5" s="822" t="s">
        <v>1</v>
      </c>
      <c r="B5" s="822"/>
      <c r="C5" s="822"/>
      <c r="D5" s="822"/>
      <c r="E5" s="822"/>
      <c r="F5" s="822"/>
    </row>
    <row r="6" spans="1:7" s="180" customFormat="1" thickBot="1" x14ac:dyDescent="0.25">
      <c r="A6" s="392" t="s">
        <v>87</v>
      </c>
      <c r="C6" s="393"/>
      <c r="D6" s="394"/>
      <c r="E6" s="363"/>
      <c r="F6" s="345"/>
    </row>
    <row r="7" spans="1:7" s="398" customFormat="1" thickBot="1" x14ac:dyDescent="0.3">
      <c r="A7" s="395">
        <v>1</v>
      </c>
      <c r="B7" s="396">
        <v>2</v>
      </c>
      <c r="C7" s="347">
        <v>3</v>
      </c>
      <c r="D7" s="397">
        <v>4</v>
      </c>
      <c r="E7" s="371">
        <v>5</v>
      </c>
      <c r="F7" s="371">
        <v>6</v>
      </c>
    </row>
    <row r="8" spans="1:7" s="180" customFormat="1" ht="29.25" thickBot="1" x14ac:dyDescent="0.25">
      <c r="A8" s="399" t="s">
        <v>4</v>
      </c>
      <c r="B8" s="396" t="s">
        <v>2</v>
      </c>
      <c r="C8" s="349" t="s">
        <v>390</v>
      </c>
      <c r="D8" s="400" t="s">
        <v>391</v>
      </c>
      <c r="E8" s="323" t="s">
        <v>392</v>
      </c>
      <c r="F8" s="327" t="s">
        <v>393</v>
      </c>
    </row>
    <row r="9" spans="1:7" s="180" customFormat="1" thickBot="1" x14ac:dyDescent="0.25">
      <c r="A9" s="401" t="s">
        <v>3</v>
      </c>
      <c r="B9" s="402" t="s">
        <v>16</v>
      </c>
      <c r="C9" s="351">
        <f>SUM(C10:C15)</f>
        <v>257157.579</v>
      </c>
      <c r="D9" s="403">
        <f>SUM(D10:D15)</f>
        <v>267299.93400000001</v>
      </c>
      <c r="E9" s="403">
        <f>SUM(E10:E15)</f>
        <v>267299.93400000001</v>
      </c>
      <c r="F9" s="373">
        <f>E9/D9</f>
        <v>1</v>
      </c>
    </row>
    <row r="10" spans="1:7" x14ac:dyDescent="0.25">
      <c r="A10" s="404" t="s">
        <v>6</v>
      </c>
      <c r="B10" s="405" t="s">
        <v>30</v>
      </c>
      <c r="C10" s="353">
        <v>95069.09</v>
      </c>
      <c r="D10" s="406">
        <v>95192.554000000004</v>
      </c>
      <c r="E10" s="407">
        <v>95192.554000000004</v>
      </c>
      <c r="F10" s="372">
        <f t="shared" ref="F10:F49" si="0">E10/D10</f>
        <v>1</v>
      </c>
    </row>
    <row r="11" spans="1:7" x14ac:dyDescent="0.25">
      <c r="A11" s="408" t="s">
        <v>7</v>
      </c>
      <c r="B11" s="409" t="s">
        <v>31</v>
      </c>
      <c r="C11" s="353">
        <v>72321.217999999993</v>
      </c>
      <c r="D11" s="410">
        <v>74428.417000000001</v>
      </c>
      <c r="E11" s="407">
        <v>74428.417000000001</v>
      </c>
      <c r="F11" s="356">
        <f t="shared" si="0"/>
        <v>1</v>
      </c>
    </row>
    <row r="12" spans="1:7" x14ac:dyDescent="0.25">
      <c r="A12" s="408" t="s">
        <v>8</v>
      </c>
      <c r="B12" s="409" t="s">
        <v>316</v>
      </c>
      <c r="C12" s="353">
        <v>85366.501000000004</v>
      </c>
      <c r="D12" s="410">
        <v>86420.384999999995</v>
      </c>
      <c r="E12" s="407">
        <v>86420.384999999995</v>
      </c>
      <c r="F12" s="356">
        <f t="shared" si="0"/>
        <v>1</v>
      </c>
    </row>
    <row r="13" spans="1:7" x14ac:dyDescent="0.25">
      <c r="A13" s="408" t="s">
        <v>9</v>
      </c>
      <c r="B13" s="409" t="s">
        <v>33</v>
      </c>
      <c r="C13" s="353">
        <v>4400.7700000000004</v>
      </c>
      <c r="D13" s="410">
        <v>5529.91</v>
      </c>
      <c r="E13" s="407">
        <v>5529.91</v>
      </c>
      <c r="F13" s="356">
        <f t="shared" si="0"/>
        <v>1</v>
      </c>
    </row>
    <row r="14" spans="1:7" x14ac:dyDescent="0.25">
      <c r="A14" s="408" t="s">
        <v>10</v>
      </c>
      <c r="B14" s="409" t="s">
        <v>34</v>
      </c>
      <c r="C14" s="353"/>
      <c r="D14" s="406">
        <v>5728.6679999999997</v>
      </c>
      <c r="E14" s="407">
        <v>5728.6679999999997</v>
      </c>
      <c r="F14" s="356">
        <f t="shared" si="0"/>
        <v>1</v>
      </c>
    </row>
    <row r="15" spans="1:7" ht="15.75" thickBot="1" x14ac:dyDescent="0.3">
      <c r="A15" s="412" t="s">
        <v>11</v>
      </c>
      <c r="B15" s="413" t="s">
        <v>358</v>
      </c>
      <c r="C15" s="353"/>
      <c r="D15" s="411"/>
      <c r="E15" s="407"/>
      <c r="F15" s="374"/>
    </row>
    <row r="16" spans="1:7" s="180" customFormat="1" thickBot="1" x14ac:dyDescent="0.25">
      <c r="A16" s="401" t="s">
        <v>5</v>
      </c>
      <c r="B16" s="402" t="s">
        <v>39</v>
      </c>
      <c r="C16" s="351">
        <f>SUM(C17:C18)</f>
        <v>116377</v>
      </c>
      <c r="D16" s="403">
        <f>SUM(D17:D18)</f>
        <v>120381.223</v>
      </c>
      <c r="E16" s="403">
        <f>SUM(E17:E18)</f>
        <v>112984.45</v>
      </c>
      <c r="F16" s="373">
        <f t="shared" si="0"/>
        <v>0.93855542570787809</v>
      </c>
    </row>
    <row r="17" spans="1:6" x14ac:dyDescent="0.25">
      <c r="A17" s="404" t="s">
        <v>12</v>
      </c>
      <c r="B17" s="405" t="s">
        <v>36</v>
      </c>
      <c r="C17" s="353"/>
      <c r="D17" s="411"/>
      <c r="E17" s="407"/>
      <c r="F17" s="372"/>
    </row>
    <row r="18" spans="1:6" x14ac:dyDescent="0.25">
      <c r="A18" s="408" t="s">
        <v>13</v>
      </c>
      <c r="B18" s="409" t="s">
        <v>37</v>
      </c>
      <c r="C18" s="353">
        <v>116377</v>
      </c>
      <c r="D18" s="406">
        <v>120381.223</v>
      </c>
      <c r="E18" s="407">
        <v>112984.45</v>
      </c>
      <c r="F18" s="356">
        <f t="shared" si="0"/>
        <v>0.93855542570787809</v>
      </c>
    </row>
    <row r="19" spans="1:6" ht="15.75" thickBot="1" x14ac:dyDescent="0.3">
      <c r="A19" s="412" t="s">
        <v>14</v>
      </c>
      <c r="B19" s="413" t="s">
        <v>38</v>
      </c>
      <c r="C19" s="353"/>
      <c r="D19" s="411"/>
      <c r="E19" s="407"/>
      <c r="F19" s="374"/>
    </row>
    <row r="20" spans="1:6" s="180" customFormat="1" thickBot="1" x14ac:dyDescent="0.25">
      <c r="A20" s="401" t="s">
        <v>15</v>
      </c>
      <c r="B20" s="402" t="s">
        <v>43</v>
      </c>
      <c r="C20" s="351">
        <f>SUM(C21:C22)</f>
        <v>0</v>
      </c>
      <c r="D20" s="403">
        <f>SUM(D21:D22)</f>
        <v>1328</v>
      </c>
      <c r="E20" s="403">
        <f>SUM(E21:E22)</f>
        <v>1327.28</v>
      </c>
      <c r="F20" s="373"/>
    </row>
    <row r="21" spans="1:6" x14ac:dyDescent="0.25">
      <c r="A21" s="404" t="s">
        <v>17</v>
      </c>
      <c r="B21" s="405" t="s">
        <v>40</v>
      </c>
      <c r="C21" s="353"/>
      <c r="D21" s="411"/>
      <c r="E21" s="407"/>
      <c r="F21" s="372"/>
    </row>
    <row r="22" spans="1:6" x14ac:dyDescent="0.25">
      <c r="A22" s="408" t="s">
        <v>18</v>
      </c>
      <c r="B22" s="409" t="s">
        <v>41</v>
      </c>
      <c r="C22" s="353"/>
      <c r="D22" s="406">
        <v>1328</v>
      </c>
      <c r="E22" s="407">
        <v>1327.28</v>
      </c>
      <c r="F22" s="356"/>
    </row>
    <row r="23" spans="1:6" ht="15.75" thickBot="1" x14ac:dyDescent="0.3">
      <c r="A23" s="412" t="s">
        <v>19</v>
      </c>
      <c r="B23" s="413" t="s">
        <v>42</v>
      </c>
      <c r="C23" s="353"/>
      <c r="D23" s="411"/>
      <c r="E23" s="407"/>
      <c r="F23" s="374"/>
    </row>
    <row r="24" spans="1:6" s="180" customFormat="1" thickBot="1" x14ac:dyDescent="0.25">
      <c r="A24" s="401" t="s">
        <v>20</v>
      </c>
      <c r="B24" s="402" t="s">
        <v>21</v>
      </c>
      <c r="C24" s="351">
        <f>C25+C28+C29+C30</f>
        <v>102821</v>
      </c>
      <c r="D24" s="351">
        <f>D25+D28+D29+D30</f>
        <v>114533.88799999999</v>
      </c>
      <c r="E24" s="403">
        <f>E25+E28+E29+E30</f>
        <v>114533.37999999999</v>
      </c>
      <c r="F24" s="373">
        <f t="shared" si="0"/>
        <v>0.99999556463149142</v>
      </c>
    </row>
    <row r="25" spans="1:6" x14ac:dyDescent="0.25">
      <c r="A25" s="404" t="s">
        <v>22</v>
      </c>
      <c r="B25" s="405" t="s">
        <v>558</v>
      </c>
      <c r="C25" s="353">
        <f>SUM(C26:C27)</f>
        <v>91027</v>
      </c>
      <c r="D25" s="406">
        <f>SUM(D26:D27)</f>
        <v>102121.088</v>
      </c>
      <c r="E25" s="406">
        <f>SUM(E26:E27)</f>
        <v>102121.03599999999</v>
      </c>
      <c r="F25" s="372">
        <f t="shared" si="0"/>
        <v>0.99999949080056794</v>
      </c>
    </row>
    <row r="26" spans="1:6" x14ac:dyDescent="0.25">
      <c r="A26" s="408" t="s">
        <v>23</v>
      </c>
      <c r="B26" s="409" t="s">
        <v>45</v>
      </c>
      <c r="C26" s="353">
        <v>44</v>
      </c>
      <c r="D26" s="410">
        <v>90.1</v>
      </c>
      <c r="E26" s="407">
        <v>90.048000000000002</v>
      </c>
      <c r="F26" s="356">
        <f t="shared" si="0"/>
        <v>0.99942286348501674</v>
      </c>
    </row>
    <row r="27" spans="1:6" x14ac:dyDescent="0.25">
      <c r="A27" s="408" t="s">
        <v>24</v>
      </c>
      <c r="B27" s="409" t="s">
        <v>47</v>
      </c>
      <c r="C27" s="353">
        <v>90983</v>
      </c>
      <c r="D27" s="410">
        <v>102030.988</v>
      </c>
      <c r="E27" s="407">
        <v>102030.988</v>
      </c>
      <c r="F27" s="356">
        <f t="shared" si="0"/>
        <v>1</v>
      </c>
    </row>
    <row r="28" spans="1:6" x14ac:dyDescent="0.25">
      <c r="A28" s="408" t="s">
        <v>26</v>
      </c>
      <c r="B28" s="409" t="s">
        <v>48</v>
      </c>
      <c r="C28" s="353">
        <v>10605</v>
      </c>
      <c r="D28" s="410">
        <v>11024.7</v>
      </c>
      <c r="E28" s="407">
        <v>11024.617</v>
      </c>
      <c r="F28" s="356">
        <f t="shared" si="0"/>
        <v>0.99999247145047021</v>
      </c>
    </row>
    <row r="29" spans="1:6" x14ac:dyDescent="0.25">
      <c r="A29" s="408" t="s">
        <v>27</v>
      </c>
      <c r="B29" s="409" t="s">
        <v>49</v>
      </c>
      <c r="C29" s="353">
        <v>700</v>
      </c>
      <c r="D29" s="410">
        <v>1.4</v>
      </c>
      <c r="E29" s="407">
        <v>1.4</v>
      </c>
      <c r="F29" s="356">
        <f t="shared" si="0"/>
        <v>1</v>
      </c>
    </row>
    <row r="30" spans="1:6" ht="15.75" thickBot="1" x14ac:dyDescent="0.3">
      <c r="A30" s="412" t="s">
        <v>28</v>
      </c>
      <c r="B30" s="413" t="s">
        <v>50</v>
      </c>
      <c r="C30" s="353">
        <v>489</v>
      </c>
      <c r="D30" s="410">
        <v>1386.7</v>
      </c>
      <c r="E30" s="414">
        <v>1386.327</v>
      </c>
      <c r="F30" s="374">
        <f t="shared" si="0"/>
        <v>0.99973101608134418</v>
      </c>
    </row>
    <row r="31" spans="1:6" s="180" customFormat="1" thickBot="1" x14ac:dyDescent="0.25">
      <c r="A31" s="401" t="s">
        <v>29</v>
      </c>
      <c r="B31" s="415" t="s">
        <v>51</v>
      </c>
      <c r="C31" s="369">
        <v>27587.3</v>
      </c>
      <c r="D31" s="403">
        <v>34838.144999999997</v>
      </c>
      <c r="E31" s="383">
        <v>34374.006999999998</v>
      </c>
      <c r="F31" s="373">
        <f t="shared" si="0"/>
        <v>0.98667730443167978</v>
      </c>
    </row>
    <row r="32" spans="1:6" s="180" customFormat="1" thickBot="1" x14ac:dyDescent="0.25">
      <c r="A32" s="416" t="s">
        <v>52</v>
      </c>
      <c r="B32" s="417" t="s">
        <v>53</v>
      </c>
      <c r="C32" s="351">
        <f>'1.1.összevont'!D32-'1.3.önként'!C33-'1.4.államigazg'!C33</f>
        <v>0</v>
      </c>
      <c r="D32" s="403">
        <f>'1.1.összevont'!E32-'1.3.önként'!D33-'1.4.államigazg'!D33</f>
        <v>0</v>
      </c>
      <c r="E32" s="383"/>
      <c r="F32" s="373"/>
    </row>
    <row r="33" spans="1:6" s="180" customFormat="1" ht="15.75" thickBot="1" x14ac:dyDescent="0.3">
      <c r="A33" s="401" t="s">
        <v>54</v>
      </c>
      <c r="B33" s="402" t="s">
        <v>160</v>
      </c>
      <c r="C33" s="351"/>
      <c r="D33" s="403"/>
      <c r="E33" s="418"/>
      <c r="F33" s="381"/>
    </row>
    <row r="34" spans="1:6" s="180" customFormat="1" ht="15.75" thickBot="1" x14ac:dyDescent="0.3">
      <c r="A34" s="401" t="s">
        <v>56</v>
      </c>
      <c r="B34" s="402" t="s">
        <v>57</v>
      </c>
      <c r="C34" s="351">
        <f>'1.1.összevont'!D34-'1.3.önként'!C35-'1.4.államigazg'!C35</f>
        <v>0</v>
      </c>
      <c r="D34" s="403">
        <v>0</v>
      </c>
      <c r="E34" s="383"/>
      <c r="F34" s="379"/>
    </row>
    <row r="35" spans="1:6" s="180" customFormat="1" thickBot="1" x14ac:dyDescent="0.25">
      <c r="A35" s="401" t="s">
        <v>58</v>
      </c>
      <c r="B35" s="402" t="s">
        <v>137</v>
      </c>
      <c r="C35" s="351">
        <f>C9+C16+C20+C24+C31+C32+C33+C34</f>
        <v>503942.87900000002</v>
      </c>
      <c r="D35" s="403">
        <f>D9+D16+D20+D24+D31+D32+D33+D34</f>
        <v>538381.18999999994</v>
      </c>
      <c r="E35" s="403">
        <f>E9+E16+E20+E24+E31+E32+E33+E34</f>
        <v>530519.05100000009</v>
      </c>
      <c r="F35" s="373">
        <f t="shared" si="0"/>
        <v>0.98539670563156223</v>
      </c>
    </row>
    <row r="36" spans="1:6" s="180" customFormat="1" ht="15.75" thickBot="1" x14ac:dyDescent="0.3">
      <c r="A36" s="401" t="s">
        <v>59</v>
      </c>
      <c r="B36" s="402" t="s">
        <v>60</v>
      </c>
      <c r="C36" s="351">
        <f>SUM(C37:C39)</f>
        <v>0</v>
      </c>
      <c r="D36" s="403">
        <f>SUM(D37:D39)</f>
        <v>0</v>
      </c>
      <c r="E36" s="403">
        <f>SUM(E37:E39)</f>
        <v>0</v>
      </c>
      <c r="F36" s="372"/>
    </row>
    <row r="37" spans="1:6" x14ac:dyDescent="0.25">
      <c r="A37" s="404" t="s">
        <v>61</v>
      </c>
      <c r="B37" s="405" t="s">
        <v>62</v>
      </c>
      <c r="C37" s="353"/>
      <c r="D37" s="419"/>
      <c r="E37" s="407"/>
      <c r="F37" s="356"/>
    </row>
    <row r="38" spans="1:6" x14ac:dyDescent="0.25">
      <c r="A38" s="408" t="s">
        <v>63</v>
      </c>
      <c r="B38" s="409" t="s">
        <v>64</v>
      </c>
      <c r="C38" s="353"/>
      <c r="D38" s="410"/>
      <c r="E38" s="407"/>
      <c r="F38" s="356"/>
    </row>
    <row r="39" spans="1:6" ht="15.75" thickBot="1" x14ac:dyDescent="0.3">
      <c r="A39" s="412" t="s">
        <v>65</v>
      </c>
      <c r="B39" s="413" t="s">
        <v>66</v>
      </c>
      <c r="C39" s="353"/>
      <c r="D39" s="410"/>
      <c r="E39" s="414"/>
      <c r="F39" s="374"/>
    </row>
    <row r="40" spans="1:6" s="180" customFormat="1" ht="15.75" thickBot="1" x14ac:dyDescent="0.3">
      <c r="A40" s="401" t="s">
        <v>67</v>
      </c>
      <c r="B40" s="402" t="s">
        <v>68</v>
      </c>
      <c r="C40" s="351"/>
      <c r="D40" s="420"/>
      <c r="E40" s="383"/>
      <c r="F40" s="379"/>
    </row>
    <row r="41" spans="1:6" s="180" customFormat="1" thickBot="1" x14ac:dyDescent="0.25">
      <c r="A41" s="401" t="s">
        <v>69</v>
      </c>
      <c r="B41" s="402" t="s">
        <v>386</v>
      </c>
      <c r="C41" s="351">
        <v>22555.454000000002</v>
      </c>
      <c r="D41" s="403">
        <v>380.06400000000002</v>
      </c>
      <c r="E41" s="383">
        <v>380.06400000000002</v>
      </c>
      <c r="F41" s="373">
        <f t="shared" si="0"/>
        <v>1</v>
      </c>
    </row>
    <row r="42" spans="1:6" s="180" customFormat="1" thickBot="1" x14ac:dyDescent="0.25">
      <c r="A42" s="401" t="s">
        <v>71</v>
      </c>
      <c r="B42" s="402" t="s">
        <v>72</v>
      </c>
      <c r="C42" s="351"/>
      <c r="D42" s="403">
        <f>SUM(D43:D44)</f>
        <v>8999.9969999999994</v>
      </c>
      <c r="E42" s="403">
        <f>SUM(E43:E44)</f>
        <v>8999.9969999999994</v>
      </c>
      <c r="F42" s="373">
        <f t="shared" si="0"/>
        <v>1</v>
      </c>
    </row>
    <row r="43" spans="1:6" x14ac:dyDescent="0.25">
      <c r="A43" s="404" t="s">
        <v>73</v>
      </c>
      <c r="B43" s="405" t="s">
        <v>74</v>
      </c>
      <c r="C43" s="353"/>
      <c r="D43" s="410">
        <v>8999.9969999999994</v>
      </c>
      <c r="E43" s="421">
        <v>8999.9969999999994</v>
      </c>
      <c r="F43" s="372"/>
    </row>
    <row r="44" spans="1:6" ht="15.75" thickBot="1" x14ac:dyDescent="0.3">
      <c r="A44" s="412" t="s">
        <v>75</v>
      </c>
      <c r="B44" s="413" t="s">
        <v>76</v>
      </c>
      <c r="C44" s="353"/>
      <c r="D44" s="422"/>
      <c r="E44" s="414"/>
      <c r="F44" s="374"/>
    </row>
    <row r="45" spans="1:6" s="180" customFormat="1" ht="15.75" thickBot="1" x14ac:dyDescent="0.3">
      <c r="A45" s="401" t="s">
        <v>77</v>
      </c>
      <c r="B45" s="402" t="s">
        <v>78</v>
      </c>
      <c r="C45" s="351">
        <f>'1.1.összevont'!D45-'1.3.önként'!C46-'1.4.államigazg'!C46</f>
        <v>0</v>
      </c>
      <c r="D45" s="351">
        <f>'1.1.összevont'!E45-'1.3.önként'!D46-'1.4.államigazg'!D46</f>
        <v>0</v>
      </c>
      <c r="E45" s="351">
        <f>'1.1.összevont'!F45-'1.3.önként'!E46-'1.4.államigazg'!E46</f>
        <v>0</v>
      </c>
      <c r="F45" s="379"/>
    </row>
    <row r="46" spans="1:6" s="180" customFormat="1" ht="15.75" thickBot="1" x14ac:dyDescent="0.3">
      <c r="A46" s="401" t="s">
        <v>79</v>
      </c>
      <c r="B46" s="402" t="s">
        <v>80</v>
      </c>
      <c r="C46" s="351">
        <f>'1.1.összevont'!D46-'1.3.önként'!C47-'1.4.államigazg'!C47</f>
        <v>0</v>
      </c>
      <c r="D46" s="351">
        <f>'1.1.összevont'!E46-'1.3.önként'!D47-'1.4.államigazg'!D47</f>
        <v>0</v>
      </c>
      <c r="E46" s="351">
        <f>'1.1.összevont'!F46-'1.3.önként'!E47-'1.4.államigazg'!E47</f>
        <v>0</v>
      </c>
      <c r="F46" s="379"/>
    </row>
    <row r="47" spans="1:6" s="180" customFormat="1" ht="15.75" thickBot="1" x14ac:dyDescent="0.3">
      <c r="A47" s="401" t="s">
        <v>81</v>
      </c>
      <c r="B47" s="402" t="s">
        <v>82</v>
      </c>
      <c r="C47" s="351">
        <f>'1.1.összevont'!D47-'1.3.önként'!C48-'1.4.államigazg'!C48</f>
        <v>0</v>
      </c>
      <c r="D47" s="351">
        <f>'1.1.összevont'!E47-'1.3.önként'!D48-'1.4.államigazg'!D48</f>
        <v>0</v>
      </c>
      <c r="E47" s="351">
        <f>'1.1.összevont'!F47-'1.3.önként'!E48-'1.4.államigazg'!E48</f>
        <v>0</v>
      </c>
      <c r="F47" s="379"/>
    </row>
    <row r="48" spans="1:6" s="180" customFormat="1" thickBot="1" x14ac:dyDescent="0.25">
      <c r="A48" s="401" t="s">
        <v>83</v>
      </c>
      <c r="B48" s="402" t="s">
        <v>84</v>
      </c>
      <c r="C48" s="351">
        <f>C36+C40+C41+C42+C45+C46+C47</f>
        <v>22555.454000000002</v>
      </c>
      <c r="D48" s="403">
        <f>D36+D40+D41+D42+D45+D46+D47</f>
        <v>9380.0609999999997</v>
      </c>
      <c r="E48" s="423">
        <f>E36+E40+E41+E42+E45+E46+E47</f>
        <v>9380.0609999999997</v>
      </c>
      <c r="F48" s="373">
        <f t="shared" si="0"/>
        <v>1</v>
      </c>
    </row>
    <row r="49" spans="1:6" s="428" customFormat="1" ht="29.25" thickBot="1" x14ac:dyDescent="0.3">
      <c r="A49" s="395" t="s">
        <v>85</v>
      </c>
      <c r="B49" s="424" t="s">
        <v>86</v>
      </c>
      <c r="C49" s="425">
        <f>C35+C48</f>
        <v>526498.33299999998</v>
      </c>
      <c r="D49" s="426">
        <f>D35+D48</f>
        <v>547761.25099999993</v>
      </c>
      <c r="E49" s="427">
        <f>E35+E48</f>
        <v>539899.11200000008</v>
      </c>
      <c r="F49" s="446">
        <f t="shared" si="0"/>
        <v>0.9856467777053477</v>
      </c>
    </row>
    <row r="51" spans="1:6" x14ac:dyDescent="0.25">
      <c r="A51" s="822" t="s">
        <v>88</v>
      </c>
      <c r="B51" s="822"/>
      <c r="C51" s="822"/>
      <c r="D51" s="822"/>
      <c r="E51" s="822"/>
      <c r="F51" s="822"/>
    </row>
    <row r="52" spans="1:6" ht="15.75" thickBot="1" x14ac:dyDescent="0.3">
      <c r="A52" s="392" t="s">
        <v>89</v>
      </c>
      <c r="B52" s="180"/>
      <c r="C52" s="393"/>
    </row>
    <row r="53" spans="1:6" ht="30" thickBot="1" x14ac:dyDescent="0.3">
      <c r="A53" s="430" t="s">
        <v>4</v>
      </c>
      <c r="B53" s="402" t="s">
        <v>90</v>
      </c>
      <c r="C53" s="349" t="s">
        <v>390</v>
      </c>
      <c r="D53" s="400" t="s">
        <v>391</v>
      </c>
      <c r="E53" s="333" t="s">
        <v>392</v>
      </c>
      <c r="F53" s="327" t="s">
        <v>393</v>
      </c>
    </row>
    <row r="54" spans="1:6" ht="15.75" thickBot="1" x14ac:dyDescent="0.3">
      <c r="A54" s="401" t="s">
        <v>3</v>
      </c>
      <c r="B54" s="402" t="s">
        <v>108</v>
      </c>
      <c r="C54" s="351">
        <f>C55+C56+C57+C58+C59+C65</f>
        <v>477160.6</v>
      </c>
      <c r="D54" s="403">
        <f>D55+D56+D57+D58+D59+D65</f>
        <v>492960.87800000003</v>
      </c>
      <c r="E54" s="403">
        <f>E55+E56+E57+E58+E59+E65</f>
        <v>476669.57299999997</v>
      </c>
      <c r="F54" s="373">
        <f>E54/D54</f>
        <v>0.96695213407989744</v>
      </c>
    </row>
    <row r="55" spans="1:6" x14ac:dyDescent="0.25">
      <c r="A55" s="431" t="s">
        <v>6</v>
      </c>
      <c r="B55" s="405" t="s">
        <v>91</v>
      </c>
      <c r="C55" s="353">
        <v>271777</v>
      </c>
      <c r="D55" s="406">
        <v>282963.92099999997</v>
      </c>
      <c r="E55" s="407">
        <v>278479.95600000001</v>
      </c>
      <c r="F55" s="372">
        <f t="shared" ref="F55:F88" si="1">E55/D55</f>
        <v>0.98415358048420609</v>
      </c>
    </row>
    <row r="56" spans="1:6" x14ac:dyDescent="0.25">
      <c r="A56" s="432" t="s">
        <v>7</v>
      </c>
      <c r="B56" s="409" t="s">
        <v>92</v>
      </c>
      <c r="C56" s="353">
        <v>45678.8</v>
      </c>
      <c r="D56" s="406">
        <v>48602.786</v>
      </c>
      <c r="E56" s="407">
        <v>48018.175999999999</v>
      </c>
      <c r="F56" s="356">
        <f t="shared" si="1"/>
        <v>0.98797167717916412</v>
      </c>
    </row>
    <row r="57" spans="1:6" x14ac:dyDescent="0.25">
      <c r="A57" s="432" t="s">
        <v>8</v>
      </c>
      <c r="B57" s="409" t="s">
        <v>93</v>
      </c>
      <c r="C57" s="353">
        <v>128939.7</v>
      </c>
      <c r="D57" s="406">
        <v>125276.39599999999</v>
      </c>
      <c r="E57" s="407">
        <v>114835.19</v>
      </c>
      <c r="F57" s="356">
        <f t="shared" si="1"/>
        <v>0.9166546425872597</v>
      </c>
    </row>
    <row r="58" spans="1:6" x14ac:dyDescent="0.25">
      <c r="A58" s="432" t="s">
        <v>9</v>
      </c>
      <c r="B58" s="409" t="s">
        <v>94</v>
      </c>
      <c r="C58" s="353">
        <v>2000</v>
      </c>
      <c r="D58" s="406">
        <v>8995.1299999999992</v>
      </c>
      <c r="E58" s="407">
        <v>8522.52</v>
      </c>
      <c r="F58" s="356">
        <f t="shared" si="1"/>
        <v>0.94745934744689642</v>
      </c>
    </row>
    <row r="59" spans="1:6" x14ac:dyDescent="0.25">
      <c r="A59" s="432" t="s">
        <v>10</v>
      </c>
      <c r="B59" s="409" t="s">
        <v>95</v>
      </c>
      <c r="C59" s="353">
        <f>SUM(C60:C64)</f>
        <v>28765.1</v>
      </c>
      <c r="D59" s="406">
        <f>SUM(D60:D64)</f>
        <v>27122.645</v>
      </c>
      <c r="E59" s="406">
        <f>SUM(E60:E64)</f>
        <v>26813.731</v>
      </c>
      <c r="F59" s="356">
        <f t="shared" si="1"/>
        <v>0.98861047659621692</v>
      </c>
    </row>
    <row r="60" spans="1:6" x14ac:dyDescent="0.25">
      <c r="A60" s="432" t="s">
        <v>11</v>
      </c>
      <c r="B60" s="433" t="s">
        <v>370</v>
      </c>
      <c r="C60" s="353">
        <v>3000</v>
      </c>
      <c r="D60" s="406">
        <v>3000</v>
      </c>
      <c r="E60" s="407">
        <v>2705.4119999999998</v>
      </c>
      <c r="F60" s="356">
        <f t="shared" si="1"/>
        <v>0.90180399999999994</v>
      </c>
    </row>
    <row r="61" spans="1:6" x14ac:dyDescent="0.25">
      <c r="A61" s="432" t="s">
        <v>97</v>
      </c>
      <c r="B61" s="409" t="s">
        <v>103</v>
      </c>
      <c r="C61" s="353"/>
      <c r="D61" s="406"/>
      <c r="E61" s="407"/>
      <c r="F61" s="356"/>
    </row>
    <row r="62" spans="1:6" x14ac:dyDescent="0.25">
      <c r="A62" s="432" t="s">
        <v>98</v>
      </c>
      <c r="B62" s="409" t="s">
        <v>138</v>
      </c>
      <c r="C62" s="353"/>
      <c r="D62" s="406"/>
      <c r="E62" s="407"/>
      <c r="F62" s="356"/>
    </row>
    <row r="63" spans="1:6" x14ac:dyDescent="0.25">
      <c r="A63" s="432" t="s">
        <v>99</v>
      </c>
      <c r="B63" s="409" t="s">
        <v>139</v>
      </c>
      <c r="C63" s="353">
        <v>2903</v>
      </c>
      <c r="D63" s="406">
        <v>2903</v>
      </c>
      <c r="E63" s="407">
        <v>2902.491</v>
      </c>
      <c r="F63" s="356">
        <f t="shared" si="1"/>
        <v>0.99982466414054427</v>
      </c>
    </row>
    <row r="64" spans="1:6" x14ac:dyDescent="0.25">
      <c r="A64" s="432" t="s">
        <v>100</v>
      </c>
      <c r="B64" s="409" t="s">
        <v>140</v>
      </c>
      <c r="C64" s="353">
        <v>22862.1</v>
      </c>
      <c r="D64" s="406">
        <v>21219.645</v>
      </c>
      <c r="E64" s="407">
        <v>21205.828000000001</v>
      </c>
      <c r="F64" s="356">
        <f t="shared" si="1"/>
        <v>0.9993488580982387</v>
      </c>
    </row>
    <row r="65" spans="1:6" x14ac:dyDescent="0.25">
      <c r="A65" s="432" t="s">
        <v>101</v>
      </c>
      <c r="B65" s="409" t="s">
        <v>102</v>
      </c>
      <c r="C65" s="353">
        <f>SUM(C66:C67)</f>
        <v>0</v>
      </c>
      <c r="D65" s="353">
        <f>SUM(D66:D67)</f>
        <v>0</v>
      </c>
      <c r="E65" s="407"/>
      <c r="F65" s="356"/>
    </row>
    <row r="66" spans="1:6" x14ac:dyDescent="0.25">
      <c r="A66" s="432" t="s">
        <v>104</v>
      </c>
      <c r="B66" s="409" t="s">
        <v>105</v>
      </c>
      <c r="C66" s="353"/>
      <c r="D66" s="406"/>
      <c r="E66" s="407"/>
      <c r="F66" s="356"/>
    </row>
    <row r="67" spans="1:6" ht="15.75" thickBot="1" x14ac:dyDescent="0.3">
      <c r="A67" s="434" t="s">
        <v>106</v>
      </c>
      <c r="B67" s="413" t="s">
        <v>107</v>
      </c>
      <c r="C67" s="353"/>
      <c r="D67" s="406"/>
      <c r="E67" s="407"/>
      <c r="F67" s="374"/>
    </row>
    <row r="68" spans="1:6" ht="15.75" thickBot="1" x14ac:dyDescent="0.3">
      <c r="A68" s="401" t="s">
        <v>5</v>
      </c>
      <c r="B68" s="402" t="s">
        <v>121</v>
      </c>
      <c r="C68" s="351">
        <f>C69+C71+C73</f>
        <v>38410</v>
      </c>
      <c r="D68" s="403">
        <f>D69+D71+D73</f>
        <v>43872.639999999999</v>
      </c>
      <c r="E68" s="403">
        <f>E69+E71+E73</f>
        <v>40836.563999999998</v>
      </c>
      <c r="F68" s="373">
        <f t="shared" si="1"/>
        <v>0.93079796428936123</v>
      </c>
    </row>
    <row r="69" spans="1:6" x14ac:dyDescent="0.25">
      <c r="A69" s="431" t="s">
        <v>12</v>
      </c>
      <c r="B69" s="405" t="s">
        <v>109</v>
      </c>
      <c r="C69" s="353">
        <v>15767</v>
      </c>
      <c r="D69" s="406">
        <v>16016.328</v>
      </c>
      <c r="E69" s="407">
        <v>15725.065000000001</v>
      </c>
      <c r="F69" s="372">
        <f t="shared" si="1"/>
        <v>0.98181462067959657</v>
      </c>
    </row>
    <row r="70" spans="1:6" x14ac:dyDescent="0.25">
      <c r="A70" s="432" t="s">
        <v>110</v>
      </c>
      <c r="B70" s="409" t="s">
        <v>111</v>
      </c>
      <c r="C70" s="353"/>
      <c r="D70" s="406"/>
      <c r="E70" s="407"/>
      <c r="F70" s="356"/>
    </row>
    <row r="71" spans="1:6" x14ac:dyDescent="0.25">
      <c r="A71" s="432" t="s">
        <v>14</v>
      </c>
      <c r="B71" s="409" t="s">
        <v>112</v>
      </c>
      <c r="C71" s="353">
        <v>22643</v>
      </c>
      <c r="D71" s="406">
        <v>27856.312000000002</v>
      </c>
      <c r="E71" s="407">
        <v>25111.499</v>
      </c>
      <c r="F71" s="356">
        <f t="shared" si="1"/>
        <v>0.90146531242183092</v>
      </c>
    </row>
    <row r="72" spans="1:6" x14ac:dyDescent="0.25">
      <c r="A72" s="432" t="s">
        <v>113</v>
      </c>
      <c r="B72" s="409" t="s">
        <v>114</v>
      </c>
      <c r="C72" s="353"/>
      <c r="D72" s="406"/>
      <c r="E72" s="407"/>
      <c r="F72" s="356"/>
    </row>
    <row r="73" spans="1:6" x14ac:dyDescent="0.25">
      <c r="A73" s="432" t="s">
        <v>115</v>
      </c>
      <c r="B73" s="409" t="s">
        <v>116</v>
      </c>
      <c r="C73" s="353">
        <f>SUM(C74:C75)</f>
        <v>0</v>
      </c>
      <c r="D73" s="406">
        <f>SUM(D74:D75)</f>
        <v>0</v>
      </c>
      <c r="E73" s="406">
        <f>SUM(E74:E75)</f>
        <v>0</v>
      </c>
      <c r="F73" s="356"/>
    </row>
    <row r="74" spans="1:6" x14ac:dyDescent="0.25">
      <c r="A74" s="432" t="s">
        <v>117</v>
      </c>
      <c r="B74" s="409" t="s">
        <v>118</v>
      </c>
      <c r="C74" s="353"/>
      <c r="D74" s="406"/>
      <c r="E74" s="407"/>
      <c r="F74" s="356"/>
    </row>
    <row r="75" spans="1:6" ht="15.75" thickBot="1" x14ac:dyDescent="0.3">
      <c r="A75" s="434" t="s">
        <v>119</v>
      </c>
      <c r="B75" s="413" t="s">
        <v>120</v>
      </c>
      <c r="C75" s="353"/>
      <c r="D75" s="406"/>
      <c r="E75" s="407"/>
      <c r="F75" s="374"/>
    </row>
    <row r="76" spans="1:6" ht="15.75" thickBot="1" x14ac:dyDescent="0.3">
      <c r="A76" s="401" t="s">
        <v>15</v>
      </c>
      <c r="B76" s="402" t="s">
        <v>122</v>
      </c>
      <c r="C76" s="351">
        <f>C54+C68</f>
        <v>515570.6</v>
      </c>
      <c r="D76" s="403">
        <f>D54+D68</f>
        <v>536833.51800000004</v>
      </c>
      <c r="E76" s="403">
        <f>E54+E68</f>
        <v>517506.13699999999</v>
      </c>
      <c r="F76" s="373">
        <f t="shared" si="1"/>
        <v>0.9639974398915977</v>
      </c>
    </row>
    <row r="77" spans="1:6" ht="15.75" thickBot="1" x14ac:dyDescent="0.3">
      <c r="A77" s="401" t="s">
        <v>20</v>
      </c>
      <c r="B77" s="402" t="s">
        <v>126</v>
      </c>
      <c r="C77" s="351">
        <f>SUM(C78:C80)</f>
        <v>0</v>
      </c>
      <c r="D77" s="351">
        <f t="shared" ref="D77:E77" si="2">SUM(D78:D80)</f>
        <v>0</v>
      </c>
      <c r="E77" s="351">
        <f t="shared" si="2"/>
        <v>0</v>
      </c>
      <c r="F77" s="373"/>
    </row>
    <row r="78" spans="1:6" x14ac:dyDescent="0.25">
      <c r="A78" s="431" t="s">
        <v>22</v>
      </c>
      <c r="B78" s="405" t="s">
        <v>123</v>
      </c>
      <c r="C78" s="353"/>
      <c r="D78" s="410"/>
      <c r="E78" s="407"/>
      <c r="F78" s="372"/>
    </row>
    <row r="79" spans="1:6" x14ac:dyDescent="0.25">
      <c r="A79" s="432" t="s">
        <v>26</v>
      </c>
      <c r="B79" s="409" t="s">
        <v>124</v>
      </c>
      <c r="C79" s="353"/>
      <c r="D79" s="406"/>
      <c r="E79" s="407"/>
      <c r="F79" s="356"/>
    </row>
    <row r="80" spans="1:6" ht="15.75" thickBot="1" x14ac:dyDescent="0.3">
      <c r="A80" s="434" t="s">
        <v>27</v>
      </c>
      <c r="B80" s="413" t="s">
        <v>125</v>
      </c>
      <c r="C80" s="353"/>
      <c r="D80" s="435"/>
      <c r="E80" s="414"/>
      <c r="F80" s="374"/>
    </row>
    <row r="81" spans="1:6" ht="15.75" thickBot="1" x14ac:dyDescent="0.3">
      <c r="A81" s="436" t="s">
        <v>29</v>
      </c>
      <c r="B81" s="437" t="s">
        <v>127</v>
      </c>
      <c r="C81" s="369"/>
      <c r="D81" s="438"/>
      <c r="E81" s="445"/>
      <c r="F81" s="379"/>
    </row>
    <row r="82" spans="1:6" ht="15.75" thickBot="1" x14ac:dyDescent="0.3">
      <c r="A82" s="401" t="s">
        <v>52</v>
      </c>
      <c r="B82" s="402" t="s">
        <v>130</v>
      </c>
      <c r="C82" s="351">
        <f>C83</f>
        <v>10927.733</v>
      </c>
      <c r="D82" s="403">
        <f>D83</f>
        <v>10927.733</v>
      </c>
      <c r="E82" s="403">
        <f>E83</f>
        <v>10927.733</v>
      </c>
      <c r="F82" s="373">
        <f t="shared" si="1"/>
        <v>1</v>
      </c>
    </row>
    <row r="83" spans="1:6" ht="15.75" thickBot="1" x14ac:dyDescent="0.3">
      <c r="A83" s="439" t="s">
        <v>128</v>
      </c>
      <c r="B83" s="440" t="s">
        <v>129</v>
      </c>
      <c r="C83" s="365">
        <v>10927.733</v>
      </c>
      <c r="D83" s="441">
        <v>10927.733</v>
      </c>
      <c r="E83" s="414">
        <v>10927.733</v>
      </c>
      <c r="F83" s="381">
        <f t="shared" si="1"/>
        <v>1</v>
      </c>
    </row>
    <row r="84" spans="1:6" ht="15.75" thickBot="1" x14ac:dyDescent="0.3">
      <c r="A84" s="401" t="s">
        <v>54</v>
      </c>
      <c r="B84" s="402" t="s">
        <v>131</v>
      </c>
      <c r="C84" s="351"/>
      <c r="D84" s="438"/>
      <c r="E84" s="445"/>
      <c r="F84" s="379"/>
    </row>
    <row r="85" spans="1:6" ht="15.75" thickBot="1" x14ac:dyDescent="0.3">
      <c r="A85" s="401" t="s">
        <v>56</v>
      </c>
      <c r="B85" s="402" t="s">
        <v>132</v>
      </c>
      <c r="C85" s="351"/>
      <c r="D85" s="438"/>
      <c r="E85" s="445"/>
      <c r="F85" s="379"/>
    </row>
    <row r="86" spans="1:6" ht="15.75" thickBot="1" x14ac:dyDescent="0.3">
      <c r="A86" s="401" t="s">
        <v>133</v>
      </c>
      <c r="B86" s="402" t="s">
        <v>134</v>
      </c>
      <c r="C86" s="351"/>
      <c r="D86" s="438"/>
      <c r="E86" s="445"/>
      <c r="F86" s="379"/>
    </row>
    <row r="87" spans="1:6" ht="15.75" thickBot="1" x14ac:dyDescent="0.3">
      <c r="A87" s="401" t="s">
        <v>59</v>
      </c>
      <c r="B87" s="402" t="s">
        <v>135</v>
      </c>
      <c r="C87" s="351">
        <f>C77+C81+C82+C84+C85+C86</f>
        <v>10927.733</v>
      </c>
      <c r="D87" s="403">
        <f>D77+D81+D82+D84+D85+D86</f>
        <v>10927.733</v>
      </c>
      <c r="E87" s="403">
        <f>E77+E81+E82+E84+E85+E86</f>
        <v>10927.733</v>
      </c>
      <c r="F87" s="373">
        <f t="shared" si="1"/>
        <v>1</v>
      </c>
    </row>
    <row r="88" spans="1:6" ht="15.75" thickBot="1" x14ac:dyDescent="0.3">
      <c r="A88" s="401" t="s">
        <v>67</v>
      </c>
      <c r="B88" s="402" t="s">
        <v>136</v>
      </c>
      <c r="C88" s="351">
        <f>C76+C87</f>
        <v>526498.33299999998</v>
      </c>
      <c r="D88" s="403">
        <f>D76+D87</f>
        <v>547761.25100000005</v>
      </c>
      <c r="E88" s="403">
        <f>E76+E87</f>
        <v>528433.87</v>
      </c>
      <c r="F88" s="373">
        <f t="shared" si="1"/>
        <v>0.96471568413297626</v>
      </c>
    </row>
    <row r="90" spans="1:6" s="366" customFormat="1" ht="29.25" customHeight="1" x14ac:dyDescent="0.25">
      <c r="A90" s="820" t="s">
        <v>141</v>
      </c>
      <c r="B90" s="820"/>
      <c r="C90" s="820"/>
      <c r="D90" s="442"/>
      <c r="E90" s="367"/>
      <c r="F90" s="368"/>
    </row>
    <row r="91" spans="1:6" ht="15.75" thickBot="1" x14ac:dyDescent="0.3">
      <c r="A91" s="392" t="s">
        <v>142</v>
      </c>
      <c r="B91" s="180"/>
      <c r="C91" s="346"/>
    </row>
    <row r="92" spans="1:6" ht="30" thickBot="1" x14ac:dyDescent="0.3">
      <c r="A92" s="401" t="s">
        <v>3</v>
      </c>
      <c r="B92" s="443" t="s">
        <v>143</v>
      </c>
      <c r="C92" s="351">
        <f>C35-C76</f>
        <v>-11627.720999999961</v>
      </c>
      <c r="D92" s="403">
        <f>D35-D76</f>
        <v>1547.6719999999041</v>
      </c>
      <c r="E92" s="423">
        <f>E35-E76</f>
        <v>13012.914000000106</v>
      </c>
      <c r="F92" s="382"/>
    </row>
    <row r="93" spans="1:6" ht="30" thickBot="1" x14ac:dyDescent="0.3">
      <c r="A93" s="401" t="s">
        <v>5</v>
      </c>
      <c r="B93" s="443" t="s">
        <v>144</v>
      </c>
      <c r="C93" s="351">
        <f>C48-C87</f>
        <v>11627.721000000001</v>
      </c>
      <c r="D93" s="403">
        <f>D48-D87</f>
        <v>-1547.6720000000005</v>
      </c>
      <c r="E93" s="423">
        <f>E48-E87</f>
        <v>-1547.6720000000005</v>
      </c>
      <c r="F93" s="382"/>
    </row>
  </sheetData>
  <mergeCells count="7">
    <mergeCell ref="A90:C90"/>
    <mergeCell ref="A1:F1"/>
    <mergeCell ref="A2:F2"/>
    <mergeCell ref="A3:F3"/>
    <mergeCell ref="A5:F5"/>
    <mergeCell ref="A51:F51"/>
    <mergeCell ref="A4:G4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"/>
  <sheetViews>
    <sheetView workbookViewId="0">
      <selection activeCell="A2" sqref="A2"/>
    </sheetView>
  </sheetViews>
  <sheetFormatPr defaultRowHeight="15.75" x14ac:dyDescent="0.25"/>
  <cols>
    <col min="1" max="1" width="5.28515625" style="527" bestFit="1" customWidth="1"/>
    <col min="2" max="2" width="60.140625" style="2" customWidth="1"/>
    <col min="3" max="3" width="13.85546875" style="2" customWidth="1"/>
  </cols>
  <sheetData>
    <row r="1" spans="1:3" x14ac:dyDescent="0.25">
      <c r="A1" s="825" t="s">
        <v>1033</v>
      </c>
      <c r="B1" s="825"/>
      <c r="C1" s="825"/>
    </row>
    <row r="3" spans="1:3" x14ac:dyDescent="0.25">
      <c r="A3" s="888" t="s">
        <v>613</v>
      </c>
      <c r="B3" s="889"/>
      <c r="C3" s="889"/>
    </row>
    <row r="5" spans="1:3" ht="16.5" thickBot="1" x14ac:dyDescent="0.3">
      <c r="C5" s="527" t="s">
        <v>596</v>
      </c>
    </row>
    <row r="6" spans="1:3" ht="48" thickBot="1" x14ac:dyDescent="0.3">
      <c r="A6" s="39" t="s">
        <v>4</v>
      </c>
      <c r="B6" s="6" t="s">
        <v>2</v>
      </c>
      <c r="C6" s="563" t="s">
        <v>605</v>
      </c>
    </row>
    <row r="7" spans="1:3" ht="16.5" thickBot="1" x14ac:dyDescent="0.3">
      <c r="A7" s="564" t="s">
        <v>148</v>
      </c>
      <c r="B7" s="34" t="s">
        <v>171</v>
      </c>
      <c r="C7" s="565" t="s">
        <v>149</v>
      </c>
    </row>
    <row r="8" spans="1:3" x14ac:dyDescent="0.25">
      <c r="A8" s="32" t="s">
        <v>3</v>
      </c>
      <c r="B8" s="8" t="s">
        <v>606</v>
      </c>
      <c r="C8" s="153">
        <v>102121.03599999999</v>
      </c>
    </row>
    <row r="9" spans="1:3" ht="31.5" x14ac:dyDescent="0.25">
      <c r="A9" s="31" t="s">
        <v>5</v>
      </c>
      <c r="B9" s="23" t="s">
        <v>607</v>
      </c>
      <c r="C9" s="154">
        <v>18788.074000000001</v>
      </c>
    </row>
    <row r="10" spans="1:3" x14ac:dyDescent="0.25">
      <c r="A10" s="31" t="s">
        <v>15</v>
      </c>
      <c r="B10" s="4" t="s">
        <v>608</v>
      </c>
      <c r="C10" s="154"/>
    </row>
    <row r="11" spans="1:3" ht="31.5" x14ac:dyDescent="0.25">
      <c r="A11" s="31" t="s">
        <v>20</v>
      </c>
      <c r="B11" s="23" t="s">
        <v>609</v>
      </c>
      <c r="C11" s="154"/>
    </row>
    <row r="12" spans="1:3" x14ac:dyDescent="0.25">
      <c r="A12" s="31" t="s">
        <v>29</v>
      </c>
      <c r="B12" s="4" t="s">
        <v>610</v>
      </c>
      <c r="C12" s="154">
        <v>1386.327</v>
      </c>
    </row>
    <row r="13" spans="1:3" ht="16.5" thickBot="1" x14ac:dyDescent="0.3">
      <c r="A13" s="35" t="s">
        <v>52</v>
      </c>
      <c r="B13" s="478" t="s">
        <v>611</v>
      </c>
      <c r="C13" s="155"/>
    </row>
    <row r="14" spans="1:3" ht="16.5" thickBot="1" x14ac:dyDescent="0.3">
      <c r="A14" s="33" t="s">
        <v>54</v>
      </c>
      <c r="B14" s="9" t="s">
        <v>612</v>
      </c>
      <c r="C14" s="566">
        <f>SUM(C8:C12)</f>
        <v>122295.43699999999</v>
      </c>
    </row>
  </sheetData>
  <mergeCells count="2">
    <mergeCell ref="A1:C1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"/>
  <sheetViews>
    <sheetView workbookViewId="0">
      <selection activeCell="A2" sqref="A2"/>
    </sheetView>
  </sheetViews>
  <sheetFormatPr defaultRowHeight="15.75" x14ac:dyDescent="0.25"/>
  <cols>
    <col min="1" max="1" width="9.140625" style="2"/>
    <col min="2" max="2" width="60.28515625" style="2" customWidth="1"/>
    <col min="3" max="3" width="13.140625" style="2" bestFit="1" customWidth="1"/>
    <col min="4" max="16384" width="9.140625" style="2"/>
  </cols>
  <sheetData>
    <row r="1" spans="1:3" x14ac:dyDescent="0.25">
      <c r="A1" s="825" t="s">
        <v>1034</v>
      </c>
      <c r="B1" s="825"/>
      <c r="C1" s="825"/>
    </row>
    <row r="3" spans="1:3" x14ac:dyDescent="0.25">
      <c r="A3" s="888" t="s">
        <v>615</v>
      </c>
      <c r="B3" s="889"/>
      <c r="C3" s="889"/>
    </row>
    <row r="5" spans="1:3" ht="16.5" thickBot="1" x14ac:dyDescent="0.3">
      <c r="A5" s="527"/>
      <c r="C5" s="2" t="s">
        <v>618</v>
      </c>
    </row>
    <row r="6" spans="1:3" ht="32.25" thickBot="1" x14ac:dyDescent="0.3">
      <c r="A6" s="39" t="s">
        <v>4</v>
      </c>
      <c r="B6" s="6" t="s">
        <v>614</v>
      </c>
      <c r="C6" s="563" t="s">
        <v>617</v>
      </c>
    </row>
    <row r="7" spans="1:3" ht="16.5" thickBot="1" x14ac:dyDescent="0.3">
      <c r="A7" s="564" t="s">
        <v>148</v>
      </c>
      <c r="B7" s="34" t="s">
        <v>171</v>
      </c>
      <c r="C7" s="565" t="s">
        <v>149</v>
      </c>
    </row>
    <row r="8" spans="1:3" ht="31.5" x14ac:dyDescent="0.25">
      <c r="A8" s="32" t="s">
        <v>3</v>
      </c>
      <c r="B8" s="567" t="s">
        <v>616</v>
      </c>
      <c r="C8" s="558">
        <v>37243444</v>
      </c>
    </row>
    <row r="9" spans="1:3" x14ac:dyDescent="0.25">
      <c r="A9" s="31" t="s">
        <v>5</v>
      </c>
      <c r="B9" s="23"/>
      <c r="C9" s="559"/>
    </row>
    <row r="10" spans="1:3" x14ac:dyDescent="0.25">
      <c r="A10" s="31" t="s">
        <v>15</v>
      </c>
      <c r="B10" s="4"/>
      <c r="C10" s="559"/>
    </row>
    <row r="11" spans="1:3" x14ac:dyDescent="0.25">
      <c r="A11" s="31" t="s">
        <v>20</v>
      </c>
      <c r="B11" s="23"/>
      <c r="C11" s="559"/>
    </row>
    <row r="12" spans="1:3" x14ac:dyDescent="0.25">
      <c r="A12" s="31" t="s">
        <v>29</v>
      </c>
      <c r="B12" s="4"/>
      <c r="C12" s="559"/>
    </row>
    <row r="13" spans="1:3" ht="16.5" thickBot="1" x14ac:dyDescent="0.3">
      <c r="A13" s="35" t="s">
        <v>52</v>
      </c>
      <c r="B13" s="478"/>
      <c r="C13" s="560"/>
    </row>
    <row r="14" spans="1:3" ht="32.25" thickBot="1" x14ac:dyDescent="0.3">
      <c r="A14" s="33" t="s">
        <v>54</v>
      </c>
      <c r="B14" s="11" t="s">
        <v>619</v>
      </c>
      <c r="C14" s="562">
        <f>SUM(C8:C13)</f>
        <v>37243444</v>
      </c>
    </row>
  </sheetData>
  <mergeCells count="2">
    <mergeCell ref="A1:C1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workbookViewId="0">
      <selection activeCell="C9" sqref="C9"/>
    </sheetView>
  </sheetViews>
  <sheetFormatPr defaultRowHeight="12.75" x14ac:dyDescent="0.2"/>
  <cols>
    <col min="1" max="1" width="9.140625" style="568"/>
    <col min="2" max="2" width="52.42578125" style="568" customWidth="1"/>
    <col min="3" max="3" width="15.28515625" style="568" customWidth="1"/>
    <col min="4" max="257" width="9.140625" style="568"/>
    <col min="258" max="258" width="52.42578125" style="568" customWidth="1"/>
    <col min="259" max="259" width="15.28515625" style="568" customWidth="1"/>
    <col min="260" max="513" width="9.140625" style="568"/>
    <col min="514" max="514" width="52.42578125" style="568" customWidth="1"/>
    <col min="515" max="515" width="15.28515625" style="568" customWidth="1"/>
    <col min="516" max="769" width="9.140625" style="568"/>
    <col min="770" max="770" width="52.42578125" style="568" customWidth="1"/>
    <col min="771" max="771" width="15.28515625" style="568" customWidth="1"/>
    <col min="772" max="1025" width="9.140625" style="568"/>
    <col min="1026" max="1026" width="52.42578125" style="568" customWidth="1"/>
    <col min="1027" max="1027" width="15.28515625" style="568" customWidth="1"/>
    <col min="1028" max="1281" width="9.140625" style="568"/>
    <col min="1282" max="1282" width="52.42578125" style="568" customWidth="1"/>
    <col min="1283" max="1283" width="15.28515625" style="568" customWidth="1"/>
    <col min="1284" max="1537" width="9.140625" style="568"/>
    <col min="1538" max="1538" width="52.42578125" style="568" customWidth="1"/>
    <col min="1539" max="1539" width="15.28515625" style="568" customWidth="1"/>
    <col min="1540" max="1793" width="9.140625" style="568"/>
    <col min="1794" max="1794" width="52.42578125" style="568" customWidth="1"/>
    <col min="1795" max="1795" width="15.28515625" style="568" customWidth="1"/>
    <col min="1796" max="2049" width="9.140625" style="568"/>
    <col min="2050" max="2050" width="52.42578125" style="568" customWidth="1"/>
    <col min="2051" max="2051" width="15.28515625" style="568" customWidth="1"/>
    <col min="2052" max="2305" width="9.140625" style="568"/>
    <col min="2306" max="2306" width="52.42578125" style="568" customWidth="1"/>
    <col min="2307" max="2307" width="15.28515625" style="568" customWidth="1"/>
    <col min="2308" max="2561" width="9.140625" style="568"/>
    <col min="2562" max="2562" width="52.42578125" style="568" customWidth="1"/>
    <col min="2563" max="2563" width="15.28515625" style="568" customWidth="1"/>
    <col min="2564" max="2817" width="9.140625" style="568"/>
    <col min="2818" max="2818" width="52.42578125" style="568" customWidth="1"/>
    <col min="2819" max="2819" width="15.28515625" style="568" customWidth="1"/>
    <col min="2820" max="3073" width="9.140625" style="568"/>
    <col min="3074" max="3074" width="52.42578125" style="568" customWidth="1"/>
    <col min="3075" max="3075" width="15.28515625" style="568" customWidth="1"/>
    <col min="3076" max="3329" width="9.140625" style="568"/>
    <col min="3330" max="3330" width="52.42578125" style="568" customWidth="1"/>
    <col min="3331" max="3331" width="15.28515625" style="568" customWidth="1"/>
    <col min="3332" max="3585" width="9.140625" style="568"/>
    <col min="3586" max="3586" width="52.42578125" style="568" customWidth="1"/>
    <col min="3587" max="3587" width="15.28515625" style="568" customWidth="1"/>
    <col min="3588" max="3841" width="9.140625" style="568"/>
    <col min="3842" max="3842" width="52.42578125" style="568" customWidth="1"/>
    <col min="3843" max="3843" width="15.28515625" style="568" customWidth="1"/>
    <col min="3844" max="4097" width="9.140625" style="568"/>
    <col min="4098" max="4098" width="52.42578125" style="568" customWidth="1"/>
    <col min="4099" max="4099" width="15.28515625" style="568" customWidth="1"/>
    <col min="4100" max="4353" width="9.140625" style="568"/>
    <col min="4354" max="4354" width="52.42578125" style="568" customWidth="1"/>
    <col min="4355" max="4355" width="15.28515625" style="568" customWidth="1"/>
    <col min="4356" max="4609" width="9.140625" style="568"/>
    <col min="4610" max="4610" width="52.42578125" style="568" customWidth="1"/>
    <col min="4611" max="4611" width="15.28515625" style="568" customWidth="1"/>
    <col min="4612" max="4865" width="9.140625" style="568"/>
    <col min="4866" max="4866" width="52.42578125" style="568" customWidth="1"/>
    <col min="4867" max="4867" width="15.28515625" style="568" customWidth="1"/>
    <col min="4868" max="5121" width="9.140625" style="568"/>
    <col min="5122" max="5122" width="52.42578125" style="568" customWidth="1"/>
    <col min="5123" max="5123" width="15.28515625" style="568" customWidth="1"/>
    <col min="5124" max="5377" width="9.140625" style="568"/>
    <col min="5378" max="5378" width="52.42578125" style="568" customWidth="1"/>
    <col min="5379" max="5379" width="15.28515625" style="568" customWidth="1"/>
    <col min="5380" max="5633" width="9.140625" style="568"/>
    <col min="5634" max="5634" width="52.42578125" style="568" customWidth="1"/>
    <col min="5635" max="5635" width="15.28515625" style="568" customWidth="1"/>
    <col min="5636" max="5889" width="9.140625" style="568"/>
    <col min="5890" max="5890" width="52.42578125" style="568" customWidth="1"/>
    <col min="5891" max="5891" width="15.28515625" style="568" customWidth="1"/>
    <col min="5892" max="6145" width="9.140625" style="568"/>
    <col min="6146" max="6146" width="52.42578125" style="568" customWidth="1"/>
    <col min="6147" max="6147" width="15.28515625" style="568" customWidth="1"/>
    <col min="6148" max="6401" width="9.140625" style="568"/>
    <col min="6402" max="6402" width="52.42578125" style="568" customWidth="1"/>
    <col min="6403" max="6403" width="15.28515625" style="568" customWidth="1"/>
    <col min="6404" max="6657" width="9.140625" style="568"/>
    <col min="6658" max="6658" width="52.42578125" style="568" customWidth="1"/>
    <col min="6659" max="6659" width="15.28515625" style="568" customWidth="1"/>
    <col min="6660" max="6913" width="9.140625" style="568"/>
    <col min="6914" max="6914" width="52.42578125" style="568" customWidth="1"/>
    <col min="6915" max="6915" width="15.28515625" style="568" customWidth="1"/>
    <col min="6916" max="7169" width="9.140625" style="568"/>
    <col min="7170" max="7170" width="52.42578125" style="568" customWidth="1"/>
    <col min="7171" max="7171" width="15.28515625" style="568" customWidth="1"/>
    <col min="7172" max="7425" width="9.140625" style="568"/>
    <col min="7426" max="7426" width="52.42578125" style="568" customWidth="1"/>
    <col min="7427" max="7427" width="15.28515625" style="568" customWidth="1"/>
    <col min="7428" max="7681" width="9.140625" style="568"/>
    <col min="7682" max="7682" width="52.42578125" style="568" customWidth="1"/>
    <col min="7683" max="7683" width="15.28515625" style="568" customWidth="1"/>
    <col min="7684" max="7937" width="9.140625" style="568"/>
    <col min="7938" max="7938" width="52.42578125" style="568" customWidth="1"/>
    <col min="7939" max="7939" width="15.28515625" style="568" customWidth="1"/>
    <col min="7940" max="8193" width="9.140625" style="568"/>
    <col min="8194" max="8194" width="52.42578125" style="568" customWidth="1"/>
    <col min="8195" max="8195" width="15.28515625" style="568" customWidth="1"/>
    <col min="8196" max="8449" width="9.140625" style="568"/>
    <col min="8450" max="8450" width="52.42578125" style="568" customWidth="1"/>
    <col min="8451" max="8451" width="15.28515625" style="568" customWidth="1"/>
    <col min="8452" max="8705" width="9.140625" style="568"/>
    <col min="8706" max="8706" width="52.42578125" style="568" customWidth="1"/>
    <col min="8707" max="8707" width="15.28515625" style="568" customWidth="1"/>
    <col min="8708" max="8961" width="9.140625" style="568"/>
    <col min="8962" max="8962" width="52.42578125" style="568" customWidth="1"/>
    <col min="8963" max="8963" width="15.28515625" style="568" customWidth="1"/>
    <col min="8964" max="9217" width="9.140625" style="568"/>
    <col min="9218" max="9218" width="52.42578125" style="568" customWidth="1"/>
    <col min="9219" max="9219" width="15.28515625" style="568" customWidth="1"/>
    <col min="9220" max="9473" width="9.140625" style="568"/>
    <col min="9474" max="9474" width="52.42578125" style="568" customWidth="1"/>
    <col min="9475" max="9475" width="15.28515625" style="568" customWidth="1"/>
    <col min="9476" max="9729" width="9.140625" style="568"/>
    <col min="9730" max="9730" width="52.42578125" style="568" customWidth="1"/>
    <col min="9731" max="9731" width="15.28515625" style="568" customWidth="1"/>
    <col min="9732" max="9985" width="9.140625" style="568"/>
    <col min="9986" max="9986" width="52.42578125" style="568" customWidth="1"/>
    <col min="9987" max="9987" width="15.28515625" style="568" customWidth="1"/>
    <col min="9988" max="10241" width="9.140625" style="568"/>
    <col min="10242" max="10242" width="52.42578125" style="568" customWidth="1"/>
    <col min="10243" max="10243" width="15.28515625" style="568" customWidth="1"/>
    <col min="10244" max="10497" width="9.140625" style="568"/>
    <col min="10498" max="10498" width="52.42578125" style="568" customWidth="1"/>
    <col min="10499" max="10499" width="15.28515625" style="568" customWidth="1"/>
    <col min="10500" max="10753" width="9.140625" style="568"/>
    <col min="10754" max="10754" width="52.42578125" style="568" customWidth="1"/>
    <col min="10755" max="10755" width="15.28515625" style="568" customWidth="1"/>
    <col min="10756" max="11009" width="9.140625" style="568"/>
    <col min="11010" max="11010" width="52.42578125" style="568" customWidth="1"/>
    <col min="11011" max="11011" width="15.28515625" style="568" customWidth="1"/>
    <col min="11012" max="11265" width="9.140625" style="568"/>
    <col min="11266" max="11266" width="52.42578125" style="568" customWidth="1"/>
    <col min="11267" max="11267" width="15.28515625" style="568" customWidth="1"/>
    <col min="11268" max="11521" width="9.140625" style="568"/>
    <col min="11522" max="11522" width="52.42578125" style="568" customWidth="1"/>
    <col min="11523" max="11523" width="15.28515625" style="568" customWidth="1"/>
    <col min="11524" max="11777" width="9.140625" style="568"/>
    <col min="11778" max="11778" width="52.42578125" style="568" customWidth="1"/>
    <col min="11779" max="11779" width="15.28515625" style="568" customWidth="1"/>
    <col min="11780" max="12033" width="9.140625" style="568"/>
    <col min="12034" max="12034" width="52.42578125" style="568" customWidth="1"/>
    <col min="12035" max="12035" width="15.28515625" style="568" customWidth="1"/>
    <col min="12036" max="12289" width="9.140625" style="568"/>
    <col min="12290" max="12290" width="52.42578125" style="568" customWidth="1"/>
    <col min="12291" max="12291" width="15.28515625" style="568" customWidth="1"/>
    <col min="12292" max="12545" width="9.140625" style="568"/>
    <col min="12546" max="12546" width="52.42578125" style="568" customWidth="1"/>
    <col min="12547" max="12547" width="15.28515625" style="568" customWidth="1"/>
    <col min="12548" max="12801" width="9.140625" style="568"/>
    <col min="12802" max="12802" width="52.42578125" style="568" customWidth="1"/>
    <col min="12803" max="12803" width="15.28515625" style="568" customWidth="1"/>
    <col min="12804" max="13057" width="9.140625" style="568"/>
    <col min="13058" max="13058" width="52.42578125" style="568" customWidth="1"/>
    <col min="13059" max="13059" width="15.28515625" style="568" customWidth="1"/>
    <col min="13060" max="13313" width="9.140625" style="568"/>
    <col min="13314" max="13314" width="52.42578125" style="568" customWidth="1"/>
    <col min="13315" max="13315" width="15.28515625" style="568" customWidth="1"/>
    <col min="13316" max="13569" width="9.140625" style="568"/>
    <col min="13570" max="13570" width="52.42578125" style="568" customWidth="1"/>
    <col min="13571" max="13571" width="15.28515625" style="568" customWidth="1"/>
    <col min="13572" max="13825" width="9.140625" style="568"/>
    <col min="13826" max="13826" width="52.42578125" style="568" customWidth="1"/>
    <col min="13827" max="13827" width="15.28515625" style="568" customWidth="1"/>
    <col min="13828" max="14081" width="9.140625" style="568"/>
    <col min="14082" max="14082" width="52.42578125" style="568" customWidth="1"/>
    <col min="14083" max="14083" width="15.28515625" style="568" customWidth="1"/>
    <col min="14084" max="14337" width="9.140625" style="568"/>
    <col min="14338" max="14338" width="52.42578125" style="568" customWidth="1"/>
    <col min="14339" max="14339" width="15.28515625" style="568" customWidth="1"/>
    <col min="14340" max="14593" width="9.140625" style="568"/>
    <col min="14594" max="14594" width="52.42578125" style="568" customWidth="1"/>
    <col min="14595" max="14595" width="15.28515625" style="568" customWidth="1"/>
    <col min="14596" max="14849" width="9.140625" style="568"/>
    <col min="14850" max="14850" width="52.42578125" style="568" customWidth="1"/>
    <col min="14851" max="14851" width="15.28515625" style="568" customWidth="1"/>
    <col min="14852" max="15105" width="9.140625" style="568"/>
    <col min="15106" max="15106" width="52.42578125" style="568" customWidth="1"/>
    <col min="15107" max="15107" width="15.28515625" style="568" customWidth="1"/>
    <col min="15108" max="15361" width="9.140625" style="568"/>
    <col min="15362" max="15362" width="52.42578125" style="568" customWidth="1"/>
    <col min="15363" max="15363" width="15.28515625" style="568" customWidth="1"/>
    <col min="15364" max="15617" width="9.140625" style="568"/>
    <col min="15618" max="15618" width="52.42578125" style="568" customWidth="1"/>
    <col min="15619" max="15619" width="15.28515625" style="568" customWidth="1"/>
    <col min="15620" max="15873" width="9.140625" style="568"/>
    <col min="15874" max="15874" width="52.42578125" style="568" customWidth="1"/>
    <col min="15875" max="15875" width="15.28515625" style="568" customWidth="1"/>
    <col min="15876" max="16129" width="9.140625" style="568"/>
    <col min="16130" max="16130" width="52.42578125" style="568" customWidth="1"/>
    <col min="16131" max="16131" width="15.28515625" style="568" customWidth="1"/>
    <col min="16132" max="16384" width="9.140625" style="568"/>
  </cols>
  <sheetData>
    <row r="1" spans="1:4" ht="23.25" customHeight="1" x14ac:dyDescent="0.2">
      <c r="C1" s="569" t="s">
        <v>632</v>
      </c>
    </row>
    <row r="2" spans="1:4" ht="38.25" customHeight="1" x14ac:dyDescent="0.2">
      <c r="A2" s="890" t="s">
        <v>631</v>
      </c>
      <c r="B2" s="890"/>
      <c r="C2" s="890"/>
      <c r="D2" s="570"/>
    </row>
    <row r="3" spans="1:4" x14ac:dyDescent="0.2">
      <c r="A3" s="570"/>
      <c r="B3" s="571"/>
      <c r="C3" s="572" t="s">
        <v>618</v>
      </c>
    </row>
    <row r="4" spans="1:4" ht="31.5" customHeight="1" x14ac:dyDescent="0.2">
      <c r="A4" s="573" t="s">
        <v>148</v>
      </c>
      <c r="B4" s="574" t="s">
        <v>171</v>
      </c>
      <c r="C4" s="574" t="s">
        <v>149</v>
      </c>
      <c r="D4" s="570"/>
    </row>
    <row r="5" spans="1:4" ht="31.5" customHeight="1" x14ac:dyDescent="0.2">
      <c r="A5" s="575">
        <v>1</v>
      </c>
      <c r="B5" s="576" t="s">
        <v>620</v>
      </c>
      <c r="C5" s="577" t="s">
        <v>621</v>
      </c>
      <c r="D5" s="570"/>
    </row>
    <row r="6" spans="1:4" ht="31.5" customHeight="1" x14ac:dyDescent="0.2">
      <c r="A6" s="578">
        <v>2</v>
      </c>
      <c r="B6" s="579" t="s">
        <v>622</v>
      </c>
      <c r="C6" s="580"/>
      <c r="D6" s="570"/>
    </row>
    <row r="7" spans="1:4" ht="31.5" customHeight="1" x14ac:dyDescent="0.2">
      <c r="A7" s="575">
        <v>3</v>
      </c>
      <c r="B7" s="579" t="s">
        <v>623</v>
      </c>
      <c r="C7" s="580"/>
      <c r="D7" s="570"/>
    </row>
    <row r="8" spans="1:4" ht="31.5" customHeight="1" x14ac:dyDescent="0.2">
      <c r="A8" s="578">
        <v>4</v>
      </c>
      <c r="B8" s="579" t="s">
        <v>624</v>
      </c>
      <c r="C8" s="580">
        <v>103885</v>
      </c>
      <c r="D8" s="570"/>
    </row>
    <row r="9" spans="1:4" ht="31.5" customHeight="1" x14ac:dyDescent="0.2">
      <c r="A9" s="575">
        <v>5</v>
      </c>
      <c r="B9" s="579" t="s">
        <v>625</v>
      </c>
      <c r="C9" s="580">
        <v>5834466</v>
      </c>
      <c r="D9" s="570"/>
    </row>
    <row r="10" spans="1:4" ht="31.5" customHeight="1" x14ac:dyDescent="0.2">
      <c r="A10" s="575">
        <v>6</v>
      </c>
      <c r="B10" s="579" t="s">
        <v>626</v>
      </c>
      <c r="C10" s="580">
        <v>9213000</v>
      </c>
      <c r="D10" s="570"/>
    </row>
    <row r="11" spans="1:4" ht="31.5" customHeight="1" x14ac:dyDescent="0.2">
      <c r="A11" s="575">
        <v>8</v>
      </c>
      <c r="B11" s="579" t="s">
        <v>627</v>
      </c>
      <c r="C11" s="580"/>
      <c r="D11" s="570"/>
    </row>
    <row r="12" spans="1:4" ht="31.5" customHeight="1" x14ac:dyDescent="0.2">
      <c r="A12" s="575">
        <v>9</v>
      </c>
      <c r="B12" s="581" t="s">
        <v>628</v>
      </c>
      <c r="C12" s="580"/>
      <c r="D12" s="570"/>
    </row>
    <row r="13" spans="1:4" ht="31.5" customHeight="1" x14ac:dyDescent="0.2">
      <c r="A13" s="578">
        <v>10</v>
      </c>
      <c r="B13" s="579" t="s">
        <v>629</v>
      </c>
      <c r="C13" s="586"/>
      <c r="D13" s="570"/>
    </row>
    <row r="14" spans="1:4" ht="31.5" customHeight="1" x14ac:dyDescent="0.2">
      <c r="A14" s="575">
        <v>11</v>
      </c>
      <c r="B14" s="579" t="s">
        <v>630</v>
      </c>
      <c r="C14" s="580"/>
      <c r="D14" s="570"/>
    </row>
    <row r="15" spans="1:4" s="585" customFormat="1" ht="31.5" customHeight="1" x14ac:dyDescent="0.2">
      <c r="A15" s="575">
        <v>12</v>
      </c>
      <c r="B15" s="582" t="s">
        <v>242</v>
      </c>
      <c r="C15" s="583">
        <f>SUM(C6:C14)</f>
        <v>15151351</v>
      </c>
      <c r="D15" s="584"/>
    </row>
    <row r="16" spans="1:4" x14ac:dyDescent="0.2">
      <c r="A16" s="570"/>
      <c r="B16" s="570"/>
      <c r="C16" s="570"/>
      <c r="D16" s="570"/>
    </row>
    <row r="17" spans="1:4" x14ac:dyDescent="0.2">
      <c r="A17" s="570"/>
      <c r="B17" s="570"/>
      <c r="C17" s="570"/>
      <c r="D17" s="570"/>
    </row>
    <row r="18" spans="1:4" x14ac:dyDescent="0.2">
      <c r="A18" s="570"/>
      <c r="B18" s="570"/>
      <c r="C18" s="570"/>
      <c r="D18" s="570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6"/>
  <sheetViews>
    <sheetView workbookViewId="0">
      <selection activeCell="H213" sqref="H213"/>
    </sheetView>
  </sheetViews>
  <sheetFormatPr defaultRowHeight="15.75" x14ac:dyDescent="0.25"/>
  <cols>
    <col min="1" max="1" width="42.28515625" style="2" customWidth="1"/>
    <col min="2" max="2" width="12.5703125" style="2" bestFit="1" customWidth="1"/>
    <col min="3" max="5" width="12.42578125" style="2" bestFit="1" customWidth="1"/>
    <col min="6" max="16384" width="9.140625" style="2"/>
  </cols>
  <sheetData>
    <row r="1" spans="1:5" x14ac:dyDescent="0.25">
      <c r="A1" s="825" t="s">
        <v>656</v>
      </c>
      <c r="B1" s="825"/>
      <c r="C1" s="825"/>
      <c r="D1" s="825"/>
      <c r="E1" s="825"/>
    </row>
    <row r="3" spans="1:5" s="528" customFormat="1" ht="51" customHeight="1" x14ac:dyDescent="0.25">
      <c r="A3" s="891" t="s">
        <v>633</v>
      </c>
      <c r="B3" s="826"/>
      <c r="C3" s="826"/>
      <c r="D3" s="826"/>
      <c r="E3" s="826"/>
    </row>
    <row r="5" spans="1:5" ht="16.5" thickBot="1" x14ac:dyDescent="0.3">
      <c r="A5" s="2" t="s">
        <v>634</v>
      </c>
    </row>
    <row r="6" spans="1:5" s="528" customFormat="1" ht="26.25" customHeight="1" thickBot="1" x14ac:dyDescent="0.3">
      <c r="A6" s="587" t="s">
        <v>635</v>
      </c>
      <c r="B6" s="6" t="s">
        <v>598</v>
      </c>
      <c r="C6" s="6" t="s">
        <v>602</v>
      </c>
      <c r="D6" s="6" t="s">
        <v>655</v>
      </c>
      <c r="E6" s="588" t="s">
        <v>192</v>
      </c>
    </row>
    <row r="7" spans="1:5" x14ac:dyDescent="0.25">
      <c r="A7" s="8" t="s">
        <v>636</v>
      </c>
      <c r="B7" s="558"/>
      <c r="C7" s="558"/>
      <c r="D7" s="558"/>
      <c r="E7" s="558"/>
    </row>
    <row r="8" spans="1:5" x14ac:dyDescent="0.25">
      <c r="A8" s="4" t="s">
        <v>637</v>
      </c>
      <c r="B8" s="559"/>
      <c r="C8" s="559"/>
      <c r="D8" s="559"/>
      <c r="E8" s="559"/>
    </row>
    <row r="9" spans="1:5" x14ac:dyDescent="0.25">
      <c r="A9" s="4" t="s">
        <v>638</v>
      </c>
      <c r="B9" s="559">
        <v>42075795</v>
      </c>
      <c r="C9" s="559"/>
      <c r="D9" s="559"/>
      <c r="E9" s="559">
        <f>SUM(B9:D9)</f>
        <v>42075795</v>
      </c>
    </row>
    <row r="10" spans="1:5" x14ac:dyDescent="0.25">
      <c r="A10" s="4" t="s">
        <v>639</v>
      </c>
      <c r="B10" s="559"/>
      <c r="C10" s="559"/>
      <c r="D10" s="559"/>
      <c r="E10" s="559">
        <f t="shared" ref="E10:E13" si="0">SUM(B10:D10)</f>
        <v>0</v>
      </c>
    </row>
    <row r="11" spans="1:5" x14ac:dyDescent="0.25">
      <c r="A11" s="4" t="s">
        <v>640</v>
      </c>
      <c r="B11" s="559"/>
      <c r="C11" s="559"/>
      <c r="D11" s="559"/>
      <c r="E11" s="559">
        <f t="shared" si="0"/>
        <v>0</v>
      </c>
    </row>
    <row r="12" spans="1:5" x14ac:dyDescent="0.25">
      <c r="A12" s="4" t="s">
        <v>641</v>
      </c>
      <c r="B12" s="559">
        <v>27</v>
      </c>
      <c r="C12" s="559">
        <v>34</v>
      </c>
      <c r="D12" s="559"/>
      <c r="E12" s="559">
        <f t="shared" si="0"/>
        <v>61</v>
      </c>
    </row>
    <row r="13" spans="1:5" ht="16.5" thickBot="1" x14ac:dyDescent="0.3">
      <c r="A13" s="10"/>
      <c r="B13" s="560"/>
      <c r="C13" s="560"/>
      <c r="D13" s="560"/>
      <c r="E13" s="559">
        <f t="shared" si="0"/>
        <v>0</v>
      </c>
    </row>
    <row r="14" spans="1:5" ht="16.5" thickBot="1" x14ac:dyDescent="0.3">
      <c r="A14" s="37" t="s">
        <v>642</v>
      </c>
      <c r="B14" s="561">
        <f>SUM(B9:B13)</f>
        <v>42075822</v>
      </c>
      <c r="C14" s="561">
        <f>SUM(C7:C13)</f>
        <v>34</v>
      </c>
      <c r="D14" s="561">
        <f t="shared" ref="D14:E14" si="1">SUM(D7:D13)</f>
        <v>0</v>
      </c>
      <c r="E14" s="561">
        <f t="shared" si="1"/>
        <v>42075856</v>
      </c>
    </row>
    <row r="15" spans="1:5" ht="16.5" thickBot="1" x14ac:dyDescent="0.3"/>
    <row r="16" spans="1:5" s="526" customFormat="1" ht="26.25" customHeight="1" thickBot="1" x14ac:dyDescent="0.3">
      <c r="A16" s="587" t="s">
        <v>643</v>
      </c>
      <c r="B16" s="6" t="s">
        <v>598</v>
      </c>
      <c r="C16" s="6" t="s">
        <v>602</v>
      </c>
      <c r="D16" s="6" t="s">
        <v>655</v>
      </c>
      <c r="E16" s="588" t="s">
        <v>192</v>
      </c>
    </row>
    <row r="17" spans="1:5" x14ac:dyDescent="0.25">
      <c r="A17" s="8" t="s">
        <v>644</v>
      </c>
      <c r="B17" s="558"/>
      <c r="C17" s="558">
        <f>2330880+379080</f>
        <v>2709960</v>
      </c>
      <c r="D17" s="558">
        <v>8630001</v>
      </c>
      <c r="E17" s="558">
        <f>SUM(B17:D17)</f>
        <v>11339961</v>
      </c>
    </row>
    <row r="18" spans="1:5" x14ac:dyDescent="0.25">
      <c r="A18" s="4" t="s">
        <v>645</v>
      </c>
      <c r="B18" s="559"/>
      <c r="C18" s="559"/>
      <c r="D18" s="559"/>
      <c r="E18" s="558">
        <f t="shared" ref="E18:E22" si="2">SUM(B18:D18)</f>
        <v>0</v>
      </c>
    </row>
    <row r="19" spans="1:5" x14ac:dyDescent="0.25">
      <c r="A19" s="4" t="s">
        <v>646</v>
      </c>
      <c r="B19" s="559">
        <v>1111400</v>
      </c>
      <c r="C19" s="559">
        <v>12820443</v>
      </c>
      <c r="D19" s="559">
        <f>17105453-301401</f>
        <v>16804052</v>
      </c>
      <c r="E19" s="558">
        <f t="shared" si="2"/>
        <v>30735895</v>
      </c>
    </row>
    <row r="20" spans="1:5" x14ac:dyDescent="0.25">
      <c r="A20" s="4" t="s">
        <v>647</v>
      </c>
      <c r="B20" s="559"/>
      <c r="C20" s="559"/>
      <c r="D20" s="559"/>
      <c r="E20" s="558">
        <f t="shared" si="2"/>
        <v>0</v>
      </c>
    </row>
    <row r="21" spans="1:5" ht="16.5" thickBot="1" x14ac:dyDescent="0.3">
      <c r="A21" s="10"/>
      <c r="B21" s="560"/>
      <c r="C21" s="560"/>
      <c r="D21" s="560"/>
      <c r="E21" s="589">
        <f t="shared" si="2"/>
        <v>0</v>
      </c>
    </row>
    <row r="22" spans="1:5" s="1" customFormat="1" ht="16.5" thickBot="1" x14ac:dyDescent="0.3">
      <c r="A22" s="37" t="s">
        <v>648</v>
      </c>
      <c r="B22" s="561">
        <f>SUM(B17:B21)</f>
        <v>1111400</v>
      </c>
      <c r="C22" s="561">
        <f>SUM(C17:C21)</f>
        <v>15530403</v>
      </c>
      <c r="D22" s="590">
        <f>SUM(D17:D21)</f>
        <v>25434053</v>
      </c>
      <c r="E22" s="591">
        <f t="shared" si="2"/>
        <v>42075856</v>
      </c>
    </row>
    <row r="23" spans="1:5" s="1" customFormat="1" x14ac:dyDescent="0.25">
      <c r="A23" s="592"/>
      <c r="B23" s="592"/>
      <c r="C23" s="592"/>
      <c r="D23" s="592"/>
      <c r="E23" s="592"/>
    </row>
    <row r="24" spans="1:5" ht="16.5" thickBot="1" x14ac:dyDescent="0.3">
      <c r="A24" s="2" t="s">
        <v>649</v>
      </c>
    </row>
    <row r="25" spans="1:5" s="528" customFormat="1" ht="26.25" customHeight="1" thickBot="1" x14ac:dyDescent="0.3">
      <c r="A25" s="587" t="s">
        <v>635</v>
      </c>
      <c r="B25" s="6" t="s">
        <v>598</v>
      </c>
      <c r="C25" s="6" t="s">
        <v>602</v>
      </c>
      <c r="D25" s="6" t="s">
        <v>655</v>
      </c>
      <c r="E25" s="588" t="s">
        <v>192</v>
      </c>
    </row>
    <row r="26" spans="1:5" x14ac:dyDescent="0.25">
      <c r="A26" s="8" t="s">
        <v>636</v>
      </c>
      <c r="B26" s="558"/>
      <c r="C26" s="558"/>
      <c r="D26" s="558"/>
      <c r="E26" s="558"/>
    </row>
    <row r="27" spans="1:5" x14ac:dyDescent="0.25">
      <c r="A27" s="4" t="s">
        <v>637</v>
      </c>
      <c r="B27" s="559"/>
      <c r="C27" s="559"/>
      <c r="D27" s="559"/>
      <c r="E27" s="559"/>
    </row>
    <row r="28" spans="1:5" x14ac:dyDescent="0.25">
      <c r="A28" s="4" t="s">
        <v>638</v>
      </c>
      <c r="B28" s="559">
        <v>211653500</v>
      </c>
      <c r="C28" s="559"/>
      <c r="D28" s="559"/>
      <c r="E28" s="559">
        <f>SUM(B28:D28)</f>
        <v>211653500</v>
      </c>
    </row>
    <row r="29" spans="1:5" x14ac:dyDescent="0.25">
      <c r="A29" s="4" t="s">
        <v>639</v>
      </c>
      <c r="B29" s="559"/>
      <c r="C29" s="559"/>
      <c r="D29" s="559"/>
      <c r="E29" s="559">
        <f t="shared" ref="E29:E32" si="3">SUM(B29:D29)</f>
        <v>0</v>
      </c>
    </row>
    <row r="30" spans="1:5" x14ac:dyDescent="0.25">
      <c r="A30" s="4" t="s">
        <v>640</v>
      </c>
      <c r="B30" s="559"/>
      <c r="C30" s="559"/>
      <c r="D30" s="559"/>
      <c r="E30" s="559">
        <f t="shared" si="3"/>
        <v>0</v>
      </c>
    </row>
    <row r="31" spans="1:5" x14ac:dyDescent="0.25">
      <c r="A31" s="4" t="s">
        <v>641</v>
      </c>
      <c r="B31" s="559">
        <v>106</v>
      </c>
      <c r="C31" s="559">
        <v>155</v>
      </c>
      <c r="D31" s="559"/>
      <c r="E31" s="559">
        <f t="shared" si="3"/>
        <v>261</v>
      </c>
    </row>
    <row r="32" spans="1:5" ht="16.5" thickBot="1" x14ac:dyDescent="0.3">
      <c r="A32" s="10"/>
      <c r="B32" s="560"/>
      <c r="C32" s="560"/>
      <c r="D32" s="560"/>
      <c r="E32" s="559">
        <f t="shared" si="3"/>
        <v>0</v>
      </c>
    </row>
    <row r="33" spans="1:5" ht="16.5" thickBot="1" x14ac:dyDescent="0.3">
      <c r="A33" s="37" t="s">
        <v>642</v>
      </c>
      <c r="B33" s="561">
        <f>SUM(B28:B32)</f>
        <v>211653606</v>
      </c>
      <c r="C33" s="561">
        <f>SUM(C26:C32)</f>
        <v>155</v>
      </c>
      <c r="D33" s="561">
        <f t="shared" ref="D33:E33" si="4">SUM(D26:D32)</f>
        <v>0</v>
      </c>
      <c r="E33" s="561">
        <f t="shared" si="4"/>
        <v>211653761</v>
      </c>
    </row>
    <row r="34" spans="1:5" ht="16.5" thickBot="1" x14ac:dyDescent="0.3"/>
    <row r="35" spans="1:5" s="526" customFormat="1" ht="26.25" customHeight="1" thickBot="1" x14ac:dyDescent="0.3">
      <c r="A35" s="587" t="s">
        <v>643</v>
      </c>
      <c r="B35" s="6" t="s">
        <v>598</v>
      </c>
      <c r="C35" s="6" t="s">
        <v>602</v>
      </c>
      <c r="D35" s="6" t="s">
        <v>655</v>
      </c>
      <c r="E35" s="588" t="s">
        <v>192</v>
      </c>
    </row>
    <row r="36" spans="1:5" x14ac:dyDescent="0.25">
      <c r="A36" s="8" t="s">
        <v>644</v>
      </c>
      <c r="B36" s="558"/>
      <c r="C36" s="558"/>
      <c r="D36" s="558"/>
      <c r="E36" s="558">
        <f>SUM(B36:D36)</f>
        <v>0</v>
      </c>
    </row>
    <row r="37" spans="1:5" x14ac:dyDescent="0.25">
      <c r="A37" s="4" t="s">
        <v>645</v>
      </c>
      <c r="B37" s="559"/>
      <c r="C37" s="559"/>
      <c r="D37" s="559">
        <v>186265100</v>
      </c>
      <c r="E37" s="558">
        <f t="shared" ref="E37:E41" si="5">SUM(B37:D37)</f>
        <v>186265100</v>
      </c>
    </row>
    <row r="38" spans="1:5" x14ac:dyDescent="0.25">
      <c r="A38" s="4" t="s">
        <v>646</v>
      </c>
      <c r="B38" s="559">
        <v>3439130</v>
      </c>
      <c r="C38" s="559">
        <v>3000000</v>
      </c>
      <c r="D38" s="559">
        <f>17438231+1511300</f>
        <v>18949531</v>
      </c>
      <c r="E38" s="558">
        <f t="shared" si="5"/>
        <v>25388661</v>
      </c>
    </row>
    <row r="39" spans="1:5" x14ac:dyDescent="0.25">
      <c r="A39" s="4" t="s">
        <v>647</v>
      </c>
      <c r="B39" s="559"/>
      <c r="C39" s="559"/>
      <c r="D39" s="559"/>
      <c r="E39" s="558">
        <f t="shared" si="5"/>
        <v>0</v>
      </c>
    </row>
    <row r="40" spans="1:5" ht="16.5" thickBot="1" x14ac:dyDescent="0.3">
      <c r="A40" s="10"/>
      <c r="B40" s="560"/>
      <c r="C40" s="560"/>
      <c r="D40" s="560"/>
      <c r="E40" s="589">
        <f t="shared" si="5"/>
        <v>0</v>
      </c>
    </row>
    <row r="41" spans="1:5" s="1" customFormat="1" ht="16.5" thickBot="1" x14ac:dyDescent="0.3">
      <c r="A41" s="37" t="s">
        <v>648</v>
      </c>
      <c r="B41" s="561">
        <f>SUM(B38:B40)</f>
        <v>3439130</v>
      </c>
      <c r="C41" s="561">
        <f>SUM(C36:C40)</f>
        <v>3000000</v>
      </c>
      <c r="D41" s="590">
        <f>SUM(D36:D40)</f>
        <v>205214631</v>
      </c>
      <c r="E41" s="591">
        <f t="shared" si="5"/>
        <v>211653761</v>
      </c>
    </row>
    <row r="42" spans="1:5" s="1" customFormat="1" x14ac:dyDescent="0.25">
      <c r="A42" s="592"/>
      <c r="B42" s="592"/>
      <c r="C42" s="592"/>
      <c r="D42" s="592"/>
      <c r="E42" s="592"/>
    </row>
    <row r="43" spans="1:5" ht="16.5" thickBot="1" x14ac:dyDescent="0.3">
      <c r="A43" s="2" t="s">
        <v>650</v>
      </c>
    </row>
    <row r="44" spans="1:5" s="528" customFormat="1" ht="26.25" customHeight="1" thickBot="1" x14ac:dyDescent="0.3">
      <c r="A44" s="587" t="s">
        <v>635</v>
      </c>
      <c r="B44" s="6" t="s">
        <v>598</v>
      </c>
      <c r="C44" s="6" t="s">
        <v>602</v>
      </c>
      <c r="D44" s="6" t="s">
        <v>655</v>
      </c>
      <c r="E44" s="588" t="s">
        <v>192</v>
      </c>
    </row>
    <row r="45" spans="1:5" x14ac:dyDescent="0.25">
      <c r="A45" s="8" t="s">
        <v>636</v>
      </c>
      <c r="B45" s="558"/>
      <c r="C45" s="558"/>
      <c r="D45" s="558"/>
      <c r="E45" s="558"/>
    </row>
    <row r="46" spans="1:5" x14ac:dyDescent="0.25">
      <c r="A46" s="4" t="s">
        <v>637</v>
      </c>
      <c r="B46" s="559"/>
      <c r="C46" s="559"/>
      <c r="D46" s="559"/>
      <c r="E46" s="559"/>
    </row>
    <row r="47" spans="1:5" x14ac:dyDescent="0.25">
      <c r="A47" s="4" t="s">
        <v>638</v>
      </c>
      <c r="B47" s="559">
        <v>48750000</v>
      </c>
      <c r="C47" s="559"/>
      <c r="D47" s="559"/>
      <c r="E47" s="559">
        <f>SUM(B47:D47)</f>
        <v>48750000</v>
      </c>
    </row>
    <row r="48" spans="1:5" x14ac:dyDescent="0.25">
      <c r="A48" s="4" t="s">
        <v>639</v>
      </c>
      <c r="B48" s="559"/>
      <c r="C48" s="559"/>
      <c r="D48" s="559"/>
      <c r="E48" s="559"/>
    </row>
    <row r="49" spans="1:5" x14ac:dyDescent="0.25">
      <c r="A49" s="4" t="s">
        <v>640</v>
      </c>
      <c r="B49" s="559"/>
      <c r="C49" s="559"/>
      <c r="D49" s="559"/>
      <c r="E49" s="559"/>
    </row>
    <row r="50" spans="1:5" x14ac:dyDescent="0.25">
      <c r="A50" s="4" t="s">
        <v>641</v>
      </c>
      <c r="B50" s="559">
        <v>24</v>
      </c>
      <c r="C50" s="559">
        <v>43</v>
      </c>
      <c r="D50" s="559"/>
      <c r="E50" s="559">
        <f t="shared" ref="E50:E52" si="6">SUM(B50:D50)</f>
        <v>67</v>
      </c>
    </row>
    <row r="51" spans="1:5" ht="16.5" thickBot="1" x14ac:dyDescent="0.3">
      <c r="A51" s="10"/>
      <c r="B51" s="560"/>
      <c r="C51" s="560"/>
      <c r="D51" s="560"/>
      <c r="E51" s="560"/>
    </row>
    <row r="52" spans="1:5" ht="16.5" thickBot="1" x14ac:dyDescent="0.3">
      <c r="A52" s="37" t="s">
        <v>642</v>
      </c>
      <c r="B52" s="561">
        <f>SUM(B45:B51)</f>
        <v>48750024</v>
      </c>
      <c r="C52" s="561">
        <f>SUM(C45:C51)</f>
        <v>43</v>
      </c>
      <c r="D52" s="590"/>
      <c r="E52" s="591">
        <f t="shared" si="6"/>
        <v>48750067</v>
      </c>
    </row>
    <row r="53" spans="1:5" ht="16.5" thickBot="1" x14ac:dyDescent="0.3"/>
    <row r="54" spans="1:5" s="526" customFormat="1" ht="26.25" customHeight="1" thickBot="1" x14ac:dyDescent="0.3">
      <c r="A54" s="587" t="s">
        <v>643</v>
      </c>
      <c r="B54" s="6" t="s">
        <v>598</v>
      </c>
      <c r="C54" s="6" t="s">
        <v>602</v>
      </c>
      <c r="D54" s="6" t="s">
        <v>655</v>
      </c>
      <c r="E54" s="588" t="s">
        <v>192</v>
      </c>
    </row>
    <row r="55" spans="1:5" x14ac:dyDescent="0.25">
      <c r="A55" s="8" t="s">
        <v>644</v>
      </c>
      <c r="B55" s="558"/>
      <c r="C55" s="558"/>
      <c r="D55" s="558"/>
      <c r="E55" s="558"/>
    </row>
    <row r="56" spans="1:5" x14ac:dyDescent="0.25">
      <c r="A56" s="4" t="s">
        <v>645</v>
      </c>
      <c r="B56" s="559"/>
      <c r="C56" s="559"/>
      <c r="D56" s="559">
        <f>35359459+10390608</f>
        <v>45750067</v>
      </c>
      <c r="E56" s="559">
        <f>SUM(B56:D56)</f>
        <v>45750067</v>
      </c>
    </row>
    <row r="57" spans="1:5" x14ac:dyDescent="0.25">
      <c r="A57" s="4" t="s">
        <v>646</v>
      </c>
      <c r="B57" s="559">
        <v>1070000</v>
      </c>
      <c r="C57" s="559">
        <v>1930000</v>
      </c>
      <c r="D57" s="559"/>
      <c r="E57" s="559">
        <f t="shared" ref="E57:E59" si="7">SUM(B57:D57)</f>
        <v>3000000</v>
      </c>
    </row>
    <row r="58" spans="1:5" x14ac:dyDescent="0.25">
      <c r="A58" s="4" t="s">
        <v>647</v>
      </c>
      <c r="B58" s="559"/>
      <c r="C58" s="559"/>
      <c r="D58" s="559"/>
      <c r="E58" s="559">
        <f t="shared" si="7"/>
        <v>0</v>
      </c>
    </row>
    <row r="59" spans="1:5" ht="16.5" thickBot="1" x14ac:dyDescent="0.3">
      <c r="A59" s="10"/>
      <c r="B59" s="560"/>
      <c r="C59" s="560"/>
      <c r="D59" s="560"/>
      <c r="E59" s="559">
        <f t="shared" si="7"/>
        <v>0</v>
      </c>
    </row>
    <row r="60" spans="1:5" s="1" customFormat="1" ht="16.5" thickBot="1" x14ac:dyDescent="0.3">
      <c r="A60" s="37" t="s">
        <v>648</v>
      </c>
      <c r="B60" s="561">
        <f>SUM(B55:B59)</f>
        <v>1070000</v>
      </c>
      <c r="C60" s="561">
        <f>SUM(C56:C59)</f>
        <v>1930000</v>
      </c>
      <c r="D60" s="561">
        <f t="shared" ref="D60:E60" si="8">SUM(D56:D59)</f>
        <v>45750067</v>
      </c>
      <c r="E60" s="561">
        <f t="shared" si="8"/>
        <v>48750067</v>
      </c>
    </row>
    <row r="61" spans="1:5" s="1" customFormat="1" x14ac:dyDescent="0.25">
      <c r="A61" s="592"/>
      <c r="B61" s="592"/>
      <c r="C61" s="592"/>
      <c r="D61" s="592"/>
      <c r="E61" s="592"/>
    </row>
    <row r="62" spans="1:5" ht="16.5" thickBot="1" x14ac:dyDescent="0.3">
      <c r="A62" s="2" t="s">
        <v>651</v>
      </c>
    </row>
    <row r="63" spans="1:5" s="528" customFormat="1" ht="26.25" customHeight="1" thickBot="1" x14ac:dyDescent="0.3">
      <c r="A63" s="587" t="s">
        <v>635</v>
      </c>
      <c r="B63" s="6" t="s">
        <v>598</v>
      </c>
      <c r="C63" s="6" t="s">
        <v>602</v>
      </c>
      <c r="D63" s="6" t="s">
        <v>655</v>
      </c>
      <c r="E63" s="588" t="s">
        <v>192</v>
      </c>
    </row>
    <row r="64" spans="1:5" x14ac:dyDescent="0.25">
      <c r="A64" s="8" t="s">
        <v>636</v>
      </c>
      <c r="B64" s="8"/>
      <c r="C64" s="558"/>
      <c r="D64" s="558"/>
      <c r="E64" s="558">
        <f>SUM(B64:D64)</f>
        <v>0</v>
      </c>
    </row>
    <row r="65" spans="1:5" x14ac:dyDescent="0.25">
      <c r="A65" s="4" t="s">
        <v>637</v>
      </c>
      <c r="B65" s="4"/>
      <c r="C65" s="559"/>
      <c r="D65" s="559"/>
      <c r="E65" s="558">
        <f t="shared" ref="E65:E70" si="9">SUM(B65:D65)</f>
        <v>0</v>
      </c>
    </row>
    <row r="66" spans="1:5" x14ac:dyDescent="0.25">
      <c r="A66" s="4" t="s">
        <v>638</v>
      </c>
      <c r="B66" s="559">
        <v>56426174</v>
      </c>
      <c r="C66" s="559"/>
      <c r="D66" s="559"/>
      <c r="E66" s="558">
        <f t="shared" si="9"/>
        <v>56426174</v>
      </c>
    </row>
    <row r="67" spans="1:5" x14ac:dyDescent="0.25">
      <c r="A67" s="4" t="s">
        <v>639</v>
      </c>
      <c r="B67" s="559"/>
      <c r="C67" s="559"/>
      <c r="D67" s="559"/>
      <c r="E67" s="558">
        <f t="shared" si="9"/>
        <v>0</v>
      </c>
    </row>
    <row r="68" spans="1:5" x14ac:dyDescent="0.25">
      <c r="A68" s="4" t="s">
        <v>640</v>
      </c>
      <c r="B68" s="559"/>
      <c r="C68" s="559"/>
      <c r="D68" s="559"/>
      <c r="E68" s="558">
        <f t="shared" si="9"/>
        <v>0</v>
      </c>
    </row>
    <row r="69" spans="1:5" x14ac:dyDescent="0.25">
      <c r="A69" s="4" t="s">
        <v>641</v>
      </c>
      <c r="B69" s="559">
        <v>30</v>
      </c>
      <c r="C69" s="559">
        <v>40</v>
      </c>
      <c r="D69" s="559"/>
      <c r="E69" s="558">
        <f t="shared" si="9"/>
        <v>70</v>
      </c>
    </row>
    <row r="70" spans="1:5" ht="16.5" thickBot="1" x14ac:dyDescent="0.3">
      <c r="A70" s="10"/>
      <c r="B70" s="10"/>
      <c r="C70" s="560"/>
      <c r="D70" s="560"/>
      <c r="E70" s="558">
        <f t="shared" si="9"/>
        <v>0</v>
      </c>
    </row>
    <row r="71" spans="1:5" ht="16.5" thickBot="1" x14ac:dyDescent="0.3">
      <c r="A71" s="37" t="s">
        <v>642</v>
      </c>
      <c r="B71" s="9"/>
      <c r="C71" s="561">
        <f>SUM(C64:C70)</f>
        <v>40</v>
      </c>
      <c r="D71" s="561">
        <f t="shared" ref="D71:E71" si="10">SUM(D64:D70)</f>
        <v>0</v>
      </c>
      <c r="E71" s="561">
        <f t="shared" si="10"/>
        <v>56426244</v>
      </c>
    </row>
    <row r="72" spans="1:5" ht="16.5" thickBot="1" x14ac:dyDescent="0.3"/>
    <row r="73" spans="1:5" s="526" customFormat="1" ht="26.25" customHeight="1" thickBot="1" x14ac:dyDescent="0.3">
      <c r="A73" s="587" t="s">
        <v>643</v>
      </c>
      <c r="B73" s="6" t="s">
        <v>598</v>
      </c>
      <c r="C73" s="6" t="s">
        <v>602</v>
      </c>
      <c r="D73" s="6" t="s">
        <v>655</v>
      </c>
      <c r="E73" s="588" t="s">
        <v>192</v>
      </c>
    </row>
    <row r="74" spans="1:5" x14ac:dyDescent="0.25">
      <c r="A74" s="8" t="s">
        <v>644</v>
      </c>
      <c r="B74" s="8"/>
      <c r="C74" s="8"/>
      <c r="D74" s="8"/>
      <c r="E74" s="8">
        <f>SUM(B74:D74)</f>
        <v>0</v>
      </c>
    </row>
    <row r="75" spans="1:5" x14ac:dyDescent="0.25">
      <c r="A75" s="4" t="s">
        <v>645</v>
      </c>
      <c r="B75" s="4"/>
      <c r="C75" s="559"/>
      <c r="D75" s="559">
        <f>42570488+10483756</f>
        <v>53054244</v>
      </c>
      <c r="E75" s="558">
        <f>SUM(B75:D75)</f>
        <v>53054244</v>
      </c>
    </row>
    <row r="76" spans="1:5" x14ac:dyDescent="0.25">
      <c r="A76" s="4" t="s">
        <v>646</v>
      </c>
      <c r="B76" s="559">
        <v>1269600</v>
      </c>
      <c r="C76" s="559">
        <v>1879400</v>
      </c>
      <c r="D76" s="559">
        <v>223000</v>
      </c>
      <c r="E76" s="558">
        <f t="shared" ref="E76:E78" si="11">SUM(B76:D76)</f>
        <v>3372000</v>
      </c>
    </row>
    <row r="77" spans="1:5" x14ac:dyDescent="0.25">
      <c r="A77" s="4" t="s">
        <v>647</v>
      </c>
      <c r="B77" s="4"/>
      <c r="C77" s="559"/>
      <c r="D77" s="559"/>
      <c r="E77" s="8">
        <f t="shared" si="11"/>
        <v>0</v>
      </c>
    </row>
    <row r="78" spans="1:5" ht="16.5" thickBot="1" x14ac:dyDescent="0.3">
      <c r="A78" s="10"/>
      <c r="B78" s="10"/>
      <c r="C78" s="560"/>
      <c r="D78" s="560"/>
      <c r="E78" s="8">
        <f t="shared" si="11"/>
        <v>0</v>
      </c>
    </row>
    <row r="79" spans="1:5" s="1" customFormat="1" ht="16.5" thickBot="1" x14ac:dyDescent="0.3">
      <c r="A79" s="37" t="s">
        <v>648</v>
      </c>
      <c r="B79" s="9">
        <f>SUM(B74:B78)</f>
        <v>1269600</v>
      </c>
      <c r="C79" s="561">
        <f>SUM(C75:C78)</f>
        <v>1879400</v>
      </c>
      <c r="D79" s="561">
        <f t="shared" ref="D79" si="12">SUM(D75:D78)</f>
        <v>53277244</v>
      </c>
      <c r="E79" s="561">
        <f>SUM(E75:E78)</f>
        <v>56426244</v>
      </c>
    </row>
    <row r="80" spans="1:5" s="1" customFormat="1" x14ac:dyDescent="0.25">
      <c r="A80" s="592"/>
      <c r="B80" s="592"/>
      <c r="C80" s="592"/>
      <c r="D80" s="592"/>
      <c r="E80" s="592"/>
    </row>
    <row r="81" spans="1:5" ht="16.5" thickBot="1" x14ac:dyDescent="0.3">
      <c r="A81" s="2" t="s">
        <v>652</v>
      </c>
    </row>
    <row r="82" spans="1:5" s="528" customFormat="1" ht="26.25" customHeight="1" thickBot="1" x14ac:dyDescent="0.3">
      <c r="A82" s="587" t="s">
        <v>635</v>
      </c>
      <c r="B82" s="6" t="s">
        <v>598</v>
      </c>
      <c r="C82" s="6" t="s">
        <v>602</v>
      </c>
      <c r="D82" s="6" t="s">
        <v>655</v>
      </c>
      <c r="E82" s="588" t="s">
        <v>192</v>
      </c>
    </row>
    <row r="83" spans="1:5" x14ac:dyDescent="0.25">
      <c r="A83" s="8" t="s">
        <v>636</v>
      </c>
      <c r="B83" s="558"/>
      <c r="C83" s="558"/>
      <c r="D83" s="558">
        <v>54528</v>
      </c>
      <c r="E83" s="558">
        <f>SUM(B83:D83)</f>
        <v>54528</v>
      </c>
    </row>
    <row r="84" spans="1:5" x14ac:dyDescent="0.25">
      <c r="A84" s="4" t="s">
        <v>637</v>
      </c>
      <c r="B84" s="4"/>
      <c r="C84" s="4"/>
      <c r="D84" s="4"/>
      <c r="E84" s="4"/>
    </row>
    <row r="85" spans="1:5" x14ac:dyDescent="0.25">
      <c r="A85" s="4" t="s">
        <v>638</v>
      </c>
      <c r="B85" s="559">
        <v>20667000</v>
      </c>
      <c r="C85" s="559"/>
      <c r="D85" s="559"/>
      <c r="E85" s="559">
        <f>SUM(B85:D85)</f>
        <v>20667000</v>
      </c>
    </row>
    <row r="86" spans="1:5" x14ac:dyDescent="0.25">
      <c r="A86" s="4" t="s">
        <v>639</v>
      </c>
      <c r="B86" s="559"/>
      <c r="C86" s="559"/>
      <c r="D86" s="559"/>
      <c r="E86" s="559"/>
    </row>
    <row r="87" spans="1:5" x14ac:dyDescent="0.25">
      <c r="A87" s="4" t="s">
        <v>640</v>
      </c>
      <c r="B87" s="559"/>
      <c r="C87" s="559"/>
      <c r="D87" s="559"/>
      <c r="E87" s="559"/>
    </row>
    <row r="88" spans="1:5" x14ac:dyDescent="0.25">
      <c r="A88" s="4" t="s">
        <v>641</v>
      </c>
      <c r="B88" s="559">
        <v>6</v>
      </c>
      <c r="C88" s="559">
        <v>20</v>
      </c>
      <c r="D88" s="559"/>
      <c r="E88" s="559">
        <f>SUM(B88:D88)</f>
        <v>26</v>
      </c>
    </row>
    <row r="89" spans="1:5" ht="16.5" thickBot="1" x14ac:dyDescent="0.3">
      <c r="A89" s="10"/>
      <c r="B89" s="10"/>
      <c r="C89" s="560"/>
      <c r="D89" s="560"/>
      <c r="E89" s="559"/>
    </row>
    <row r="90" spans="1:5" ht="16.5" thickBot="1" x14ac:dyDescent="0.3">
      <c r="A90" s="37" t="s">
        <v>642</v>
      </c>
      <c r="B90" s="561">
        <f>SUM(B83:B89)</f>
        <v>20667006</v>
      </c>
      <c r="C90" s="561">
        <f t="shared" ref="C90:E90" si="13">SUM(C83:C89)</f>
        <v>20</v>
      </c>
      <c r="D90" s="561">
        <f t="shared" si="13"/>
        <v>54528</v>
      </c>
      <c r="E90" s="561">
        <f t="shared" si="13"/>
        <v>20721554</v>
      </c>
    </row>
    <row r="91" spans="1:5" ht="16.5" thickBot="1" x14ac:dyDescent="0.3"/>
    <row r="92" spans="1:5" s="526" customFormat="1" ht="26.25" customHeight="1" thickBot="1" x14ac:dyDescent="0.3">
      <c r="A92" s="587" t="s">
        <v>643</v>
      </c>
      <c r="B92" s="6" t="s">
        <v>598</v>
      </c>
      <c r="C92" s="6" t="s">
        <v>602</v>
      </c>
      <c r="D92" s="6" t="s">
        <v>655</v>
      </c>
      <c r="E92" s="588" t="s">
        <v>192</v>
      </c>
    </row>
    <row r="93" spans="1:5" x14ac:dyDescent="0.25">
      <c r="A93" s="8" t="s">
        <v>644</v>
      </c>
      <c r="B93" s="558">
        <v>274200</v>
      </c>
      <c r="C93" s="558">
        <f>473880+85140</f>
        <v>559020</v>
      </c>
      <c r="D93" s="558">
        <f>143400+19596</f>
        <v>162996</v>
      </c>
      <c r="E93" s="558">
        <f>SUM(B93:D93)</f>
        <v>996216</v>
      </c>
    </row>
    <row r="94" spans="1:5" x14ac:dyDescent="0.25">
      <c r="A94" s="4" t="s">
        <v>645</v>
      </c>
      <c r="B94" s="559">
        <v>222198</v>
      </c>
      <c r="C94" s="559"/>
      <c r="D94" s="559"/>
      <c r="E94" s="558">
        <f t="shared" ref="E94:E97" si="14">SUM(B94:D94)</f>
        <v>222198</v>
      </c>
    </row>
    <row r="95" spans="1:5" x14ac:dyDescent="0.25">
      <c r="A95" s="4" t="s">
        <v>646</v>
      </c>
      <c r="B95" s="4"/>
      <c r="C95" s="559">
        <v>121937</v>
      </c>
      <c r="D95" s="559">
        <v>19381203</v>
      </c>
      <c r="E95" s="558">
        <f t="shared" si="14"/>
        <v>19503140</v>
      </c>
    </row>
    <row r="96" spans="1:5" x14ac:dyDescent="0.25">
      <c r="A96" s="4" t="s">
        <v>647</v>
      </c>
      <c r="B96" s="4"/>
      <c r="C96" s="559"/>
      <c r="D96" s="559"/>
      <c r="E96" s="558">
        <f t="shared" si="14"/>
        <v>0</v>
      </c>
    </row>
    <row r="97" spans="1:5" ht="16.5" thickBot="1" x14ac:dyDescent="0.3">
      <c r="A97" s="10"/>
      <c r="B97" s="10"/>
      <c r="C97" s="560"/>
      <c r="D97" s="560"/>
      <c r="E97" s="558">
        <f t="shared" si="14"/>
        <v>0</v>
      </c>
    </row>
    <row r="98" spans="1:5" s="1" customFormat="1" ht="16.5" thickBot="1" x14ac:dyDescent="0.3">
      <c r="A98" s="37" t="s">
        <v>648</v>
      </c>
      <c r="B98" s="561">
        <f>SUM(B93:B97)</f>
        <v>496398</v>
      </c>
      <c r="C98" s="561">
        <f>SUM(C93:C97)</f>
        <v>680957</v>
      </c>
      <c r="D98" s="561">
        <f t="shared" ref="D98:E98" si="15">SUM(D93:D97)</f>
        <v>19544199</v>
      </c>
      <c r="E98" s="561">
        <f t="shared" si="15"/>
        <v>20721554</v>
      </c>
    </row>
    <row r="99" spans="1:5" s="1" customFormat="1" x14ac:dyDescent="0.25">
      <c r="A99" s="592"/>
      <c r="B99" s="592"/>
      <c r="C99" s="592"/>
      <c r="D99" s="592"/>
      <c r="E99" s="592"/>
    </row>
    <row r="100" spans="1:5" ht="16.5" thickBot="1" x14ac:dyDescent="0.3">
      <c r="A100" s="2" t="s">
        <v>653</v>
      </c>
    </row>
    <row r="101" spans="1:5" s="528" customFormat="1" ht="26.25" customHeight="1" thickBot="1" x14ac:dyDescent="0.3">
      <c r="A101" s="587" t="s">
        <v>635</v>
      </c>
      <c r="B101" s="6" t="s">
        <v>598</v>
      </c>
      <c r="C101" s="6" t="s">
        <v>602</v>
      </c>
      <c r="D101" s="6" t="s">
        <v>655</v>
      </c>
      <c r="E101" s="588" t="s">
        <v>192</v>
      </c>
    </row>
    <row r="102" spans="1:5" x14ac:dyDescent="0.25">
      <c r="A102" s="8" t="s">
        <v>636</v>
      </c>
      <c r="B102" s="558">
        <v>3138350</v>
      </c>
      <c r="C102" s="558"/>
      <c r="D102" s="558">
        <f>5074381+5995222</f>
        <v>11069603</v>
      </c>
      <c r="E102" s="558">
        <f>SUM(B102:D102)</f>
        <v>14207953</v>
      </c>
    </row>
    <row r="103" spans="1:5" x14ac:dyDescent="0.25">
      <c r="A103" s="4" t="s">
        <v>637</v>
      </c>
      <c r="B103" s="559"/>
      <c r="C103" s="559"/>
      <c r="D103" s="559"/>
      <c r="E103" s="558">
        <f t="shared" ref="E103:E108" si="16">SUM(B103:D103)</f>
        <v>0</v>
      </c>
    </row>
    <row r="104" spans="1:5" x14ac:dyDescent="0.25">
      <c r="A104" s="4" t="s">
        <v>638</v>
      </c>
      <c r="B104" s="559"/>
      <c r="C104" s="559">
        <v>48206527</v>
      </c>
      <c r="D104" s="559">
        <v>48206528</v>
      </c>
      <c r="E104" s="558">
        <f t="shared" si="16"/>
        <v>96413055</v>
      </c>
    </row>
    <row r="105" spans="1:5" x14ac:dyDescent="0.25">
      <c r="A105" s="4" t="s">
        <v>639</v>
      </c>
      <c r="B105" s="559"/>
      <c r="C105" s="559"/>
      <c r="D105" s="559"/>
      <c r="E105" s="558">
        <f t="shared" si="16"/>
        <v>0</v>
      </c>
    </row>
    <row r="106" spans="1:5" x14ac:dyDescent="0.25">
      <c r="A106" s="4" t="s">
        <v>640</v>
      </c>
      <c r="B106" s="559"/>
      <c r="C106" s="559"/>
      <c r="D106" s="559"/>
      <c r="E106" s="558">
        <f t="shared" si="16"/>
        <v>0</v>
      </c>
    </row>
    <row r="107" spans="1:5" x14ac:dyDescent="0.25">
      <c r="A107" s="4" t="s">
        <v>641</v>
      </c>
      <c r="B107" s="559"/>
      <c r="C107" s="559"/>
      <c r="D107" s="559"/>
      <c r="E107" s="558">
        <f t="shared" si="16"/>
        <v>0</v>
      </c>
    </row>
    <row r="108" spans="1:5" ht="16.5" thickBot="1" x14ac:dyDescent="0.3">
      <c r="A108" s="10"/>
      <c r="B108" s="560"/>
      <c r="C108" s="560"/>
      <c r="D108" s="560"/>
      <c r="E108" s="558">
        <f t="shared" si="16"/>
        <v>0</v>
      </c>
    </row>
    <row r="109" spans="1:5" ht="16.5" thickBot="1" x14ac:dyDescent="0.3">
      <c r="A109" s="37" t="s">
        <v>642</v>
      </c>
      <c r="B109" s="9"/>
      <c r="C109" s="561">
        <f>SUM(C102:C108)</f>
        <v>48206527</v>
      </c>
      <c r="D109" s="561">
        <f>SUM(D102:D108)</f>
        <v>59276131</v>
      </c>
      <c r="E109" s="561">
        <f>SUM(E102:E108)</f>
        <v>110621008</v>
      </c>
    </row>
    <row r="110" spans="1:5" ht="16.5" thickBot="1" x14ac:dyDescent="0.3"/>
    <row r="111" spans="1:5" s="526" customFormat="1" ht="26.25" customHeight="1" thickBot="1" x14ac:dyDescent="0.3">
      <c r="A111" s="587" t="s">
        <v>643</v>
      </c>
      <c r="B111" s="6" t="s">
        <v>598</v>
      </c>
      <c r="C111" s="6" t="s">
        <v>602</v>
      </c>
      <c r="D111" s="6" t="s">
        <v>655</v>
      </c>
      <c r="E111" s="588" t="s">
        <v>192</v>
      </c>
    </row>
    <row r="112" spans="1:5" x14ac:dyDescent="0.25">
      <c r="A112" s="8" t="s">
        <v>644</v>
      </c>
      <c r="B112" s="8"/>
      <c r="C112" s="8"/>
      <c r="D112" s="8"/>
      <c r="E112" s="8">
        <f>SUM(B112:D112)</f>
        <v>0</v>
      </c>
    </row>
    <row r="113" spans="1:5" x14ac:dyDescent="0.25">
      <c r="A113" s="4" t="s">
        <v>645</v>
      </c>
      <c r="B113" s="559">
        <v>1866725</v>
      </c>
      <c r="C113" s="559"/>
      <c r="D113" s="559">
        <v>100477779</v>
      </c>
      <c r="E113" s="558">
        <f t="shared" ref="E113:E116" si="17">SUM(B113:D113)</f>
        <v>102344504</v>
      </c>
    </row>
    <row r="114" spans="1:5" x14ac:dyDescent="0.25">
      <c r="A114" s="4" t="s">
        <v>646</v>
      </c>
      <c r="B114" s="559">
        <v>1271625</v>
      </c>
      <c r="C114" s="559">
        <v>6075229</v>
      </c>
      <c r="D114" s="559">
        <v>929650</v>
      </c>
      <c r="E114" s="558">
        <f t="shared" si="17"/>
        <v>8276504</v>
      </c>
    </row>
    <row r="115" spans="1:5" x14ac:dyDescent="0.25">
      <c r="A115" s="4" t="s">
        <v>647</v>
      </c>
      <c r="B115" s="4"/>
      <c r="C115" s="559"/>
      <c r="D115" s="559"/>
      <c r="E115" s="8">
        <f t="shared" si="17"/>
        <v>0</v>
      </c>
    </row>
    <row r="116" spans="1:5" ht="16.5" thickBot="1" x14ac:dyDescent="0.3">
      <c r="A116" s="10"/>
      <c r="B116" s="10"/>
      <c r="C116" s="560"/>
      <c r="D116" s="560"/>
      <c r="E116" s="8">
        <f t="shared" si="17"/>
        <v>0</v>
      </c>
    </row>
    <row r="117" spans="1:5" s="1" customFormat="1" ht="16.5" thickBot="1" x14ac:dyDescent="0.3">
      <c r="A117" s="37" t="s">
        <v>648</v>
      </c>
      <c r="B117" s="561">
        <f>SUM(B112:B116)</f>
        <v>3138350</v>
      </c>
      <c r="C117" s="561">
        <f t="shared" ref="C117:D117" si="18">SUM(C112:C116)</f>
        <v>6075229</v>
      </c>
      <c r="D117" s="561">
        <f t="shared" si="18"/>
        <v>101407429</v>
      </c>
      <c r="E117" s="561">
        <f t="shared" ref="E117" si="19">SUM(E113:E116)</f>
        <v>110621008</v>
      </c>
    </row>
    <row r="118" spans="1:5" s="1" customFormat="1" x14ac:dyDescent="0.25">
      <c r="A118" s="592"/>
      <c r="B118" s="592"/>
      <c r="C118" s="592"/>
      <c r="D118" s="592"/>
      <c r="E118" s="592"/>
    </row>
    <row r="119" spans="1:5" ht="16.5" thickBot="1" x14ac:dyDescent="0.3">
      <c r="A119" s="2" t="s">
        <v>654</v>
      </c>
    </row>
    <row r="120" spans="1:5" s="528" customFormat="1" ht="26.25" customHeight="1" thickBot="1" x14ac:dyDescent="0.3">
      <c r="A120" s="587" t="s">
        <v>635</v>
      </c>
      <c r="B120" s="6" t="s">
        <v>598</v>
      </c>
      <c r="C120" s="6" t="s">
        <v>602</v>
      </c>
      <c r="D120" s="6" t="s">
        <v>655</v>
      </c>
      <c r="E120" s="588" t="s">
        <v>192</v>
      </c>
    </row>
    <row r="121" spans="1:5" x14ac:dyDescent="0.25">
      <c r="A121" s="8" t="s">
        <v>636</v>
      </c>
      <c r="B121" s="558">
        <v>193500</v>
      </c>
      <c r="C121" s="558">
        <v>2260846</v>
      </c>
      <c r="D121" s="558">
        <v>193500</v>
      </c>
      <c r="E121" s="558">
        <f>SUM(C121:D121)</f>
        <v>2454346</v>
      </c>
    </row>
    <row r="122" spans="1:5" x14ac:dyDescent="0.25">
      <c r="A122" s="4" t="s">
        <v>637</v>
      </c>
      <c r="B122" s="4"/>
      <c r="C122" s="559"/>
      <c r="D122" s="559"/>
      <c r="E122" s="559"/>
    </row>
    <row r="123" spans="1:5" x14ac:dyDescent="0.25">
      <c r="A123" s="4" t="s">
        <v>638</v>
      </c>
      <c r="B123" s="4"/>
      <c r="C123" s="559"/>
      <c r="D123" s="559">
        <v>42955985</v>
      </c>
      <c r="E123" s="559">
        <f>SUM(D123)</f>
        <v>42955985</v>
      </c>
    </row>
    <row r="124" spans="1:5" x14ac:dyDescent="0.25">
      <c r="A124" s="4" t="s">
        <v>639</v>
      </c>
      <c r="B124" s="4"/>
      <c r="C124" s="559"/>
      <c r="D124" s="559"/>
      <c r="E124" s="559"/>
    </row>
    <row r="125" spans="1:5" x14ac:dyDescent="0.25">
      <c r="A125" s="4" t="s">
        <v>640</v>
      </c>
      <c r="B125" s="4"/>
      <c r="C125" s="559"/>
      <c r="D125" s="559"/>
      <c r="E125" s="559"/>
    </row>
    <row r="126" spans="1:5" x14ac:dyDescent="0.25">
      <c r="A126" s="4" t="s">
        <v>641</v>
      </c>
      <c r="B126" s="4"/>
      <c r="C126" s="559"/>
      <c r="D126" s="559"/>
      <c r="E126" s="559"/>
    </row>
    <row r="127" spans="1:5" ht="16.5" thickBot="1" x14ac:dyDescent="0.3">
      <c r="A127" s="10"/>
      <c r="B127" s="10"/>
      <c r="C127" s="560"/>
      <c r="D127" s="560"/>
      <c r="E127" s="560"/>
    </row>
    <row r="128" spans="1:5" ht="16.5" thickBot="1" x14ac:dyDescent="0.3">
      <c r="A128" s="37" t="s">
        <v>642</v>
      </c>
      <c r="B128" s="561">
        <f>SUM(B121:B127)</f>
        <v>193500</v>
      </c>
      <c r="C128" s="561">
        <f>SUM(C121:C127)</f>
        <v>2260846</v>
      </c>
      <c r="D128" s="561">
        <f t="shared" ref="D128:E128" si="20">SUM(D121:D127)</f>
        <v>43149485</v>
      </c>
      <c r="E128" s="561">
        <f t="shared" si="20"/>
        <v>45410331</v>
      </c>
    </row>
    <row r="129" spans="1:5" ht="16.5" thickBot="1" x14ac:dyDescent="0.3"/>
    <row r="130" spans="1:5" s="526" customFormat="1" ht="26.25" customHeight="1" thickBot="1" x14ac:dyDescent="0.3">
      <c r="A130" s="587" t="s">
        <v>643</v>
      </c>
      <c r="B130" s="6" t="s">
        <v>598</v>
      </c>
      <c r="C130" s="6" t="s">
        <v>602</v>
      </c>
      <c r="D130" s="6" t="s">
        <v>655</v>
      </c>
      <c r="E130" s="588" t="s">
        <v>192</v>
      </c>
    </row>
    <row r="131" spans="1:5" x14ac:dyDescent="0.25">
      <c r="A131" s="8" t="s">
        <v>644</v>
      </c>
      <c r="B131" s="558"/>
      <c r="C131" s="558"/>
      <c r="D131" s="558"/>
      <c r="E131" s="558"/>
    </row>
    <row r="132" spans="1:5" x14ac:dyDescent="0.25">
      <c r="A132" s="4" t="s">
        <v>645</v>
      </c>
      <c r="B132" s="559"/>
      <c r="C132" s="559"/>
      <c r="D132" s="559">
        <v>44766831</v>
      </c>
      <c r="E132" s="559">
        <f>SUM(C132:D132)</f>
        <v>44766831</v>
      </c>
    </row>
    <row r="133" spans="1:5" x14ac:dyDescent="0.25">
      <c r="A133" s="4" t="s">
        <v>646</v>
      </c>
      <c r="B133" s="559">
        <v>193500</v>
      </c>
      <c r="C133" s="559">
        <v>106200</v>
      </c>
      <c r="D133" s="559">
        <f>450000-106200</f>
        <v>343800</v>
      </c>
      <c r="E133" s="559">
        <f>SUM(B133:D133)</f>
        <v>643500</v>
      </c>
    </row>
    <row r="134" spans="1:5" x14ac:dyDescent="0.25">
      <c r="A134" s="4" t="s">
        <v>647</v>
      </c>
      <c r="B134" s="559"/>
      <c r="C134" s="559"/>
      <c r="D134" s="559"/>
      <c r="E134" s="559"/>
    </row>
    <row r="135" spans="1:5" ht="16.5" thickBot="1" x14ac:dyDescent="0.3">
      <c r="A135" s="10"/>
      <c r="B135" s="560"/>
      <c r="C135" s="560"/>
      <c r="D135" s="560"/>
      <c r="E135" s="560"/>
    </row>
    <row r="136" spans="1:5" s="1" customFormat="1" ht="16.5" thickBot="1" x14ac:dyDescent="0.3">
      <c r="A136" s="37" t="s">
        <v>648</v>
      </c>
      <c r="B136" s="561">
        <f>SUM(B131:B135)</f>
        <v>193500</v>
      </c>
      <c r="C136" s="561">
        <f>SUM(C131:C135)</f>
        <v>106200</v>
      </c>
      <c r="D136" s="561">
        <f>SUM(D131:D135)</f>
        <v>45110631</v>
      </c>
      <c r="E136" s="561">
        <f>SUM(E131:E135)</f>
        <v>45410331</v>
      </c>
    </row>
    <row r="137" spans="1:5" s="1" customFormat="1" x14ac:dyDescent="0.25">
      <c r="A137" s="592"/>
      <c r="B137" s="592"/>
      <c r="C137" s="592"/>
      <c r="D137" s="592"/>
      <c r="E137" s="592"/>
    </row>
    <row r="138" spans="1:5" s="1" customFormat="1" x14ac:dyDescent="0.25">
      <c r="A138" s="592"/>
      <c r="B138" s="592"/>
      <c r="C138" s="592"/>
      <c r="D138" s="592"/>
      <c r="E138" s="592"/>
    </row>
    <row r="139" spans="1:5" s="1" customFormat="1" ht="16.5" thickBot="1" x14ac:dyDescent="0.3">
      <c r="A139" s="2" t="s">
        <v>657</v>
      </c>
      <c r="B139" s="2"/>
      <c r="C139" s="2"/>
      <c r="D139" s="2"/>
      <c r="E139" s="2"/>
    </row>
    <row r="140" spans="1:5" s="1" customFormat="1" ht="16.5" thickBot="1" x14ac:dyDescent="0.3">
      <c r="A140" s="587" t="s">
        <v>635</v>
      </c>
      <c r="B140" s="6" t="s">
        <v>598</v>
      </c>
      <c r="C140" s="6" t="s">
        <v>602</v>
      </c>
      <c r="D140" s="6" t="s">
        <v>655</v>
      </c>
      <c r="E140" s="588" t="s">
        <v>192</v>
      </c>
    </row>
    <row r="141" spans="1:5" s="1" customFormat="1" x14ac:dyDescent="0.25">
      <c r="A141" s="8" t="s">
        <v>636</v>
      </c>
      <c r="B141" s="558"/>
      <c r="C141" s="558"/>
      <c r="D141" s="558"/>
      <c r="E141" s="558">
        <f>SUM(B141:D141)</f>
        <v>0</v>
      </c>
    </row>
    <row r="142" spans="1:5" s="1" customFormat="1" x14ac:dyDescent="0.25">
      <c r="A142" s="4" t="s">
        <v>637</v>
      </c>
      <c r="B142" s="4"/>
      <c r="C142" s="559"/>
      <c r="D142" s="559"/>
      <c r="E142" s="558">
        <f t="shared" ref="E142:E147" si="21">SUM(B142:D142)</f>
        <v>0</v>
      </c>
    </row>
    <row r="143" spans="1:5" s="1" customFormat="1" x14ac:dyDescent="0.25">
      <c r="A143" s="4" t="s">
        <v>638</v>
      </c>
      <c r="B143" s="4"/>
      <c r="C143" s="559">
        <v>15352200</v>
      </c>
      <c r="D143" s="559"/>
      <c r="E143" s="558">
        <f t="shared" si="21"/>
        <v>15352200</v>
      </c>
    </row>
    <row r="144" spans="1:5" s="1" customFormat="1" x14ac:dyDescent="0.25">
      <c r="A144" s="4" t="s">
        <v>639</v>
      </c>
      <c r="B144" s="4"/>
      <c r="C144" s="559"/>
      <c r="D144" s="559"/>
      <c r="E144" s="558">
        <f t="shared" si="21"/>
        <v>0</v>
      </c>
    </row>
    <row r="145" spans="1:5" s="1" customFormat="1" x14ac:dyDescent="0.25">
      <c r="A145" s="4" t="s">
        <v>640</v>
      </c>
      <c r="B145" s="4"/>
      <c r="C145" s="559"/>
      <c r="D145" s="559"/>
      <c r="E145" s="558">
        <f t="shared" si="21"/>
        <v>0</v>
      </c>
    </row>
    <row r="146" spans="1:5" s="1" customFormat="1" x14ac:dyDescent="0.25">
      <c r="A146" s="4" t="s">
        <v>641</v>
      </c>
      <c r="B146" s="4"/>
      <c r="C146" s="559">
        <v>11</v>
      </c>
      <c r="D146" s="559"/>
      <c r="E146" s="558">
        <f t="shared" si="21"/>
        <v>11</v>
      </c>
    </row>
    <row r="147" spans="1:5" s="1" customFormat="1" ht="16.5" thickBot="1" x14ac:dyDescent="0.3">
      <c r="A147" s="10"/>
      <c r="B147" s="10"/>
      <c r="C147" s="560"/>
      <c r="D147" s="560"/>
      <c r="E147" s="558">
        <f t="shared" si="21"/>
        <v>0</v>
      </c>
    </row>
    <row r="148" spans="1:5" s="1" customFormat="1" ht="16.5" thickBot="1" x14ac:dyDescent="0.3">
      <c r="A148" s="37" t="s">
        <v>642</v>
      </c>
      <c r="B148" s="561">
        <f>SUM(B141:B147)</f>
        <v>0</v>
      </c>
      <c r="C148" s="561">
        <f>SUM(C141:C147)</f>
        <v>15352211</v>
      </c>
      <c r="D148" s="561">
        <f t="shared" ref="D148:E148" si="22">SUM(D141:D147)</f>
        <v>0</v>
      </c>
      <c r="E148" s="561">
        <f t="shared" si="22"/>
        <v>15352211</v>
      </c>
    </row>
    <row r="149" spans="1:5" s="1" customFormat="1" ht="16.5" thickBot="1" x14ac:dyDescent="0.3">
      <c r="A149" s="2"/>
      <c r="B149" s="2"/>
      <c r="C149" s="2"/>
      <c r="D149" s="2"/>
      <c r="E149" s="2"/>
    </row>
    <row r="150" spans="1:5" ht="16.5" thickBot="1" x14ac:dyDescent="0.3">
      <c r="A150" s="587" t="s">
        <v>643</v>
      </c>
      <c r="B150" s="6" t="s">
        <v>598</v>
      </c>
      <c r="C150" s="6" t="s">
        <v>602</v>
      </c>
      <c r="D150" s="6" t="s">
        <v>655</v>
      </c>
      <c r="E150" s="588" t="s">
        <v>192</v>
      </c>
    </row>
    <row r="151" spans="1:5" x14ac:dyDescent="0.25">
      <c r="A151" s="8" t="s">
        <v>644</v>
      </c>
      <c r="B151" s="558"/>
      <c r="C151" s="558"/>
      <c r="D151" s="558">
        <v>13441400</v>
      </c>
      <c r="E151" s="558">
        <f>SUM(B151:D151)</f>
        <v>13441400</v>
      </c>
    </row>
    <row r="152" spans="1:5" x14ac:dyDescent="0.25">
      <c r="A152" s="4" t="s">
        <v>645</v>
      </c>
      <c r="B152" s="559"/>
      <c r="C152" s="559"/>
      <c r="D152" s="559">
        <f>622601+99400</f>
        <v>722001</v>
      </c>
      <c r="E152" s="558">
        <f t="shared" ref="E152:E155" si="23">SUM(B152:D152)</f>
        <v>722001</v>
      </c>
    </row>
    <row r="153" spans="1:5" s="528" customFormat="1" x14ac:dyDescent="0.25">
      <c r="A153" s="4" t="s">
        <v>646</v>
      </c>
      <c r="B153" s="559"/>
      <c r="C153" s="559">
        <v>84810</v>
      </c>
      <c r="D153" s="559">
        <v>552000</v>
      </c>
      <c r="E153" s="558">
        <f t="shared" si="23"/>
        <v>636810</v>
      </c>
    </row>
    <row r="154" spans="1:5" x14ac:dyDescent="0.25">
      <c r="A154" s="4" t="s">
        <v>647</v>
      </c>
      <c r="B154" s="559"/>
      <c r="C154" s="559"/>
      <c r="D154" s="559">
        <v>552000</v>
      </c>
      <c r="E154" s="558">
        <f t="shared" si="23"/>
        <v>552000</v>
      </c>
    </row>
    <row r="155" spans="1:5" ht="16.5" thickBot="1" x14ac:dyDescent="0.3">
      <c r="A155" s="10"/>
      <c r="B155" s="560"/>
      <c r="C155" s="560"/>
      <c r="D155" s="560"/>
      <c r="E155" s="558">
        <f t="shared" si="23"/>
        <v>0</v>
      </c>
    </row>
    <row r="156" spans="1:5" ht="16.5" thickBot="1" x14ac:dyDescent="0.3">
      <c r="A156" s="37" t="s">
        <v>648</v>
      </c>
      <c r="B156" s="561">
        <f>SUM(B151:B155)</f>
        <v>0</v>
      </c>
      <c r="C156" s="561">
        <f>SUM(C151:C155)</f>
        <v>84810</v>
      </c>
      <c r="D156" s="561">
        <f>SUM(D151:D155)</f>
        <v>15267401</v>
      </c>
      <c r="E156" s="561">
        <f>SUM(E151:E155)</f>
        <v>15352211</v>
      </c>
    </row>
    <row r="159" spans="1:5" ht="16.5" thickBot="1" x14ac:dyDescent="0.3">
      <c r="A159" s="2" t="s">
        <v>658</v>
      </c>
    </row>
    <row r="160" spans="1:5" ht="16.5" thickBot="1" x14ac:dyDescent="0.3">
      <c r="A160" s="587" t="s">
        <v>635</v>
      </c>
      <c r="B160" s="6" t="s">
        <v>598</v>
      </c>
      <c r="C160" s="6" t="s">
        <v>602</v>
      </c>
      <c r="D160" s="6" t="s">
        <v>655</v>
      </c>
      <c r="E160" s="588" t="s">
        <v>192</v>
      </c>
    </row>
    <row r="161" spans="1:5" x14ac:dyDescent="0.25">
      <c r="A161" s="8" t="s">
        <v>636</v>
      </c>
      <c r="B161" s="558"/>
      <c r="C161" s="558"/>
      <c r="D161" s="558"/>
      <c r="E161" s="558">
        <f>SUM(B161:D161)</f>
        <v>0</v>
      </c>
    </row>
    <row r="162" spans="1:5" x14ac:dyDescent="0.25">
      <c r="A162" s="4" t="s">
        <v>637</v>
      </c>
      <c r="B162" s="4"/>
      <c r="C162" s="559"/>
      <c r="D162" s="559"/>
      <c r="E162" s="558">
        <f t="shared" ref="E162:E167" si="24">SUM(B162:D162)</f>
        <v>0</v>
      </c>
    </row>
    <row r="163" spans="1:5" x14ac:dyDescent="0.25">
      <c r="A163" s="4" t="s">
        <v>638</v>
      </c>
      <c r="B163" s="4"/>
      <c r="C163" s="559">
        <v>9394300</v>
      </c>
      <c r="D163" s="559">
        <v>6736300</v>
      </c>
      <c r="E163" s="558">
        <f t="shared" si="24"/>
        <v>16130600</v>
      </c>
    </row>
    <row r="164" spans="1:5" x14ac:dyDescent="0.25">
      <c r="A164" s="4" t="s">
        <v>639</v>
      </c>
      <c r="B164" s="4"/>
      <c r="C164" s="559"/>
      <c r="D164" s="559"/>
      <c r="E164" s="558">
        <f t="shared" si="24"/>
        <v>0</v>
      </c>
    </row>
    <row r="165" spans="1:5" x14ac:dyDescent="0.25">
      <c r="A165" s="4" t="s">
        <v>640</v>
      </c>
      <c r="B165" s="4"/>
      <c r="C165" s="559"/>
      <c r="D165" s="559"/>
      <c r="E165" s="558">
        <f t="shared" si="24"/>
        <v>0</v>
      </c>
    </row>
    <row r="166" spans="1:5" x14ac:dyDescent="0.25">
      <c r="A166" s="4" t="s">
        <v>641</v>
      </c>
      <c r="B166" s="4"/>
      <c r="C166" s="559"/>
      <c r="D166" s="559"/>
      <c r="E166" s="558">
        <f t="shared" si="24"/>
        <v>0</v>
      </c>
    </row>
    <row r="167" spans="1:5" ht="16.5" thickBot="1" x14ac:dyDescent="0.3">
      <c r="A167" s="10"/>
      <c r="B167" s="10"/>
      <c r="C167" s="560"/>
      <c r="D167" s="560"/>
      <c r="E167" s="558">
        <f t="shared" si="24"/>
        <v>0</v>
      </c>
    </row>
    <row r="168" spans="1:5" ht="16.5" thickBot="1" x14ac:dyDescent="0.3">
      <c r="A168" s="37" t="s">
        <v>642</v>
      </c>
      <c r="B168" s="561">
        <f>SUM(B161:B167)</f>
        <v>0</v>
      </c>
      <c r="C168" s="561">
        <f>SUM(C161:C167)</f>
        <v>9394300</v>
      </c>
      <c r="D168" s="561">
        <f t="shared" ref="D168:E168" si="25">SUM(D161:D167)</f>
        <v>6736300</v>
      </c>
      <c r="E168" s="561">
        <f t="shared" si="25"/>
        <v>16130600</v>
      </c>
    </row>
    <row r="169" spans="1:5" ht="16.5" thickBot="1" x14ac:dyDescent="0.3"/>
    <row r="170" spans="1:5" ht="16.5" thickBot="1" x14ac:dyDescent="0.3">
      <c r="A170" s="587" t="s">
        <v>643</v>
      </c>
      <c r="B170" s="6" t="s">
        <v>598</v>
      </c>
      <c r="C170" s="6" t="s">
        <v>602</v>
      </c>
      <c r="D170" s="6" t="s">
        <v>655</v>
      </c>
      <c r="E170" s="588" t="s">
        <v>192</v>
      </c>
    </row>
    <row r="171" spans="1:5" x14ac:dyDescent="0.25">
      <c r="A171" s="8" t="s">
        <v>644</v>
      </c>
      <c r="B171" s="558"/>
      <c r="C171" s="558"/>
      <c r="D171" s="558">
        <v>11454400</v>
      </c>
      <c r="E171" s="558">
        <f>SUM(B171:D171)</f>
        <v>11454400</v>
      </c>
    </row>
    <row r="172" spans="1:5" x14ac:dyDescent="0.25">
      <c r="A172" s="4" t="s">
        <v>645</v>
      </c>
      <c r="B172" s="559"/>
      <c r="C172" s="559"/>
      <c r="D172" s="559">
        <f>1479079+2007593</f>
        <v>3486672</v>
      </c>
      <c r="E172" s="558">
        <f t="shared" ref="E172:E175" si="26">SUM(B172:D172)</f>
        <v>3486672</v>
      </c>
    </row>
    <row r="173" spans="1:5" x14ac:dyDescent="0.25">
      <c r="A173" s="4" t="s">
        <v>646</v>
      </c>
      <c r="B173" s="559"/>
      <c r="C173" s="559">
        <v>85528</v>
      </c>
      <c r="D173" s="559">
        <v>552000</v>
      </c>
      <c r="E173" s="558">
        <f t="shared" si="26"/>
        <v>637528</v>
      </c>
    </row>
    <row r="174" spans="1:5" x14ac:dyDescent="0.25">
      <c r="A174" s="4" t="s">
        <v>647</v>
      </c>
      <c r="B174" s="559"/>
      <c r="C174" s="559"/>
      <c r="D174" s="559">
        <v>552000</v>
      </c>
      <c r="E174" s="558">
        <f t="shared" si="26"/>
        <v>552000</v>
      </c>
    </row>
    <row r="175" spans="1:5" ht="16.5" thickBot="1" x14ac:dyDescent="0.3">
      <c r="A175" s="10"/>
      <c r="B175" s="560"/>
      <c r="C175" s="560"/>
      <c r="D175" s="560"/>
      <c r="E175" s="558">
        <f t="shared" si="26"/>
        <v>0</v>
      </c>
    </row>
    <row r="176" spans="1:5" ht="16.5" thickBot="1" x14ac:dyDescent="0.3">
      <c r="A176" s="37" t="s">
        <v>648</v>
      </c>
      <c r="B176" s="561">
        <f>SUM(B171:B175)</f>
        <v>0</v>
      </c>
      <c r="C176" s="561">
        <f>SUM(C171:C175)</f>
        <v>85528</v>
      </c>
      <c r="D176" s="561">
        <f>SUM(D171:D175)</f>
        <v>16045072</v>
      </c>
      <c r="E176" s="561">
        <f>SUM(E171:E175)</f>
        <v>16130600</v>
      </c>
    </row>
    <row r="179" spans="1:5" ht="16.5" thickBot="1" x14ac:dyDescent="0.3">
      <c r="A179" s="2" t="s">
        <v>659</v>
      </c>
    </row>
    <row r="180" spans="1:5" ht="16.5" thickBot="1" x14ac:dyDescent="0.3">
      <c r="A180" s="587" t="s">
        <v>635</v>
      </c>
      <c r="B180" s="6" t="s">
        <v>598</v>
      </c>
      <c r="C180" s="6" t="s">
        <v>602</v>
      </c>
      <c r="D180" s="6" t="s">
        <v>655</v>
      </c>
      <c r="E180" s="588" t="s">
        <v>192</v>
      </c>
    </row>
    <row r="181" spans="1:5" x14ac:dyDescent="0.25">
      <c r="A181" s="8" t="s">
        <v>636</v>
      </c>
      <c r="B181" s="558"/>
      <c r="C181" s="558">
        <v>60000</v>
      </c>
      <c r="D181" s="558"/>
      <c r="E181" s="558">
        <f>SUM(B181:D181)</f>
        <v>60000</v>
      </c>
    </row>
    <row r="182" spans="1:5" x14ac:dyDescent="0.25">
      <c r="A182" s="4" t="s">
        <v>637</v>
      </c>
      <c r="B182" s="4"/>
      <c r="C182" s="559"/>
      <c r="D182" s="559"/>
      <c r="E182" s="558">
        <f t="shared" ref="E182:E187" si="27">SUM(B182:D182)</f>
        <v>0</v>
      </c>
    </row>
    <row r="183" spans="1:5" x14ac:dyDescent="0.25">
      <c r="A183" s="4" t="s">
        <v>638</v>
      </c>
      <c r="B183" s="4"/>
      <c r="C183" s="559">
        <v>170755818</v>
      </c>
      <c r="D183" s="559"/>
      <c r="E183" s="558">
        <f t="shared" si="27"/>
        <v>170755818</v>
      </c>
    </row>
    <row r="184" spans="1:5" x14ac:dyDescent="0.25">
      <c r="A184" s="4" t="s">
        <v>639</v>
      </c>
      <c r="B184" s="4"/>
      <c r="C184" s="559"/>
      <c r="D184" s="559"/>
      <c r="E184" s="558">
        <f t="shared" si="27"/>
        <v>0</v>
      </c>
    </row>
    <row r="185" spans="1:5" x14ac:dyDescent="0.25">
      <c r="A185" s="4" t="s">
        <v>640</v>
      </c>
      <c r="B185" s="4"/>
      <c r="C185" s="559"/>
      <c r="D185" s="559"/>
      <c r="E185" s="558">
        <f t="shared" si="27"/>
        <v>0</v>
      </c>
    </row>
    <row r="186" spans="1:5" x14ac:dyDescent="0.25">
      <c r="A186" s="4" t="s">
        <v>641</v>
      </c>
      <c r="B186" s="4"/>
      <c r="C186" s="559"/>
      <c r="D186" s="559"/>
      <c r="E186" s="558">
        <f t="shared" si="27"/>
        <v>0</v>
      </c>
    </row>
    <row r="187" spans="1:5" ht="16.5" thickBot="1" x14ac:dyDescent="0.3">
      <c r="A187" s="10"/>
      <c r="B187" s="10"/>
      <c r="C187" s="560"/>
      <c r="D187" s="560"/>
      <c r="E187" s="558">
        <f t="shared" si="27"/>
        <v>0</v>
      </c>
    </row>
    <row r="188" spans="1:5" ht="16.5" thickBot="1" x14ac:dyDescent="0.3">
      <c r="A188" s="37" t="s">
        <v>642</v>
      </c>
      <c r="B188" s="561">
        <f>SUM(B181:B187)</f>
        <v>0</v>
      </c>
      <c r="C188" s="561">
        <f>SUM(C181:C187)</f>
        <v>170815818</v>
      </c>
      <c r="D188" s="561">
        <f t="shared" ref="D188:E188" si="28">SUM(D181:D187)</f>
        <v>0</v>
      </c>
      <c r="E188" s="561">
        <f t="shared" si="28"/>
        <v>170815818</v>
      </c>
    </row>
    <row r="189" spans="1:5" ht="16.5" thickBot="1" x14ac:dyDescent="0.3"/>
    <row r="190" spans="1:5" ht="16.5" thickBot="1" x14ac:dyDescent="0.3">
      <c r="A190" s="587" t="s">
        <v>643</v>
      </c>
      <c r="B190" s="6" t="s">
        <v>598</v>
      </c>
      <c r="C190" s="6" t="s">
        <v>602</v>
      </c>
      <c r="D190" s="6" t="s">
        <v>655</v>
      </c>
      <c r="E190" s="588" t="s">
        <v>192</v>
      </c>
    </row>
    <row r="191" spans="1:5" x14ac:dyDescent="0.25">
      <c r="A191" s="8" t="s">
        <v>644</v>
      </c>
      <c r="B191" s="558"/>
      <c r="C191" s="558"/>
      <c r="D191" s="558"/>
      <c r="E191" s="558">
        <f>SUM(B191:D191)</f>
        <v>0</v>
      </c>
    </row>
    <row r="192" spans="1:5" x14ac:dyDescent="0.25">
      <c r="A192" s="4" t="s">
        <v>645</v>
      </c>
      <c r="B192" s="559"/>
      <c r="C192" s="559"/>
      <c r="D192" s="559">
        <v>158900438</v>
      </c>
      <c r="E192" s="558">
        <f t="shared" ref="E192:E195" si="29">SUM(B192:D192)</f>
        <v>158900438</v>
      </c>
    </row>
    <row r="193" spans="1:5" x14ac:dyDescent="0.25">
      <c r="A193" s="4" t="s">
        <v>646</v>
      </c>
      <c r="B193" s="559"/>
      <c r="C193" s="559">
        <v>60000</v>
      </c>
      <c r="D193" s="559">
        <f>11855380</f>
        <v>11855380</v>
      </c>
      <c r="E193" s="558">
        <f t="shared" si="29"/>
        <v>11915380</v>
      </c>
    </row>
    <row r="194" spans="1:5" x14ac:dyDescent="0.25">
      <c r="A194" s="4" t="s">
        <v>647</v>
      </c>
      <c r="B194" s="559"/>
      <c r="C194" s="559"/>
      <c r="D194" s="559"/>
      <c r="E194" s="558">
        <f t="shared" si="29"/>
        <v>0</v>
      </c>
    </row>
    <row r="195" spans="1:5" ht="16.5" thickBot="1" x14ac:dyDescent="0.3">
      <c r="A195" s="10"/>
      <c r="B195" s="560"/>
      <c r="C195" s="560"/>
      <c r="D195" s="560"/>
      <c r="E195" s="558">
        <f t="shared" si="29"/>
        <v>0</v>
      </c>
    </row>
    <row r="196" spans="1:5" ht="16.5" thickBot="1" x14ac:dyDescent="0.3">
      <c r="A196" s="37" t="s">
        <v>648</v>
      </c>
      <c r="B196" s="561">
        <f>SUM(B191:B195)</f>
        <v>0</v>
      </c>
      <c r="C196" s="561">
        <f>SUM(C191:C195)</f>
        <v>60000</v>
      </c>
      <c r="D196" s="561">
        <f>SUM(D191:D195)</f>
        <v>170755818</v>
      </c>
      <c r="E196" s="561">
        <f>SUM(E191:E195)</f>
        <v>170815818</v>
      </c>
    </row>
    <row r="199" spans="1:5" ht="16.5" thickBot="1" x14ac:dyDescent="0.3">
      <c r="A199" s="2" t="s">
        <v>660</v>
      </c>
    </row>
    <row r="200" spans="1:5" ht="16.5" thickBot="1" x14ac:dyDescent="0.3">
      <c r="A200" s="587" t="s">
        <v>635</v>
      </c>
      <c r="B200" s="6" t="s">
        <v>598</v>
      </c>
      <c r="C200" s="6" t="s">
        <v>602</v>
      </c>
      <c r="D200" s="6" t="s">
        <v>655</v>
      </c>
      <c r="E200" s="588" t="s">
        <v>192</v>
      </c>
    </row>
    <row r="201" spans="1:5" x14ac:dyDescent="0.25">
      <c r="A201" s="8" t="s">
        <v>636</v>
      </c>
      <c r="B201" s="558"/>
      <c r="C201" s="558"/>
      <c r="D201" s="558"/>
      <c r="E201" s="558">
        <f>SUM(B201:D201)</f>
        <v>0</v>
      </c>
    </row>
    <row r="202" spans="1:5" x14ac:dyDescent="0.25">
      <c r="A202" s="4" t="s">
        <v>637</v>
      </c>
      <c r="B202" s="4"/>
      <c r="C202" s="559"/>
      <c r="D202" s="559"/>
      <c r="E202" s="558">
        <f t="shared" ref="E202:E207" si="30">SUM(B202:D202)</f>
        <v>0</v>
      </c>
    </row>
    <row r="203" spans="1:5" x14ac:dyDescent="0.25">
      <c r="A203" s="4" t="s">
        <v>638</v>
      </c>
      <c r="B203" s="4"/>
      <c r="C203" s="559">
        <v>3496508</v>
      </c>
      <c r="D203" s="559"/>
      <c r="E203" s="558">
        <f t="shared" si="30"/>
        <v>3496508</v>
      </c>
    </row>
    <row r="204" spans="1:5" x14ac:dyDescent="0.25">
      <c r="A204" s="4" t="s">
        <v>639</v>
      </c>
      <c r="B204" s="4"/>
      <c r="C204" s="559"/>
      <c r="D204" s="559"/>
      <c r="E204" s="558">
        <f t="shared" si="30"/>
        <v>0</v>
      </c>
    </row>
    <row r="205" spans="1:5" x14ac:dyDescent="0.25">
      <c r="A205" s="4" t="s">
        <v>640</v>
      </c>
      <c r="B205" s="4"/>
      <c r="C205" s="559"/>
      <c r="D205" s="559"/>
      <c r="E205" s="558">
        <f t="shared" si="30"/>
        <v>0</v>
      </c>
    </row>
    <row r="206" spans="1:5" x14ac:dyDescent="0.25">
      <c r="A206" s="4" t="s">
        <v>641</v>
      </c>
      <c r="B206" s="4"/>
      <c r="C206" s="559">
        <v>1</v>
      </c>
      <c r="D206" s="559"/>
      <c r="E206" s="558">
        <f t="shared" si="30"/>
        <v>1</v>
      </c>
    </row>
    <row r="207" spans="1:5" ht="16.5" thickBot="1" x14ac:dyDescent="0.3">
      <c r="A207" s="10"/>
      <c r="B207" s="10"/>
      <c r="C207" s="560"/>
      <c r="D207" s="560"/>
      <c r="E207" s="558">
        <f t="shared" si="30"/>
        <v>0</v>
      </c>
    </row>
    <row r="208" spans="1:5" ht="16.5" thickBot="1" x14ac:dyDescent="0.3">
      <c r="A208" s="37" t="s">
        <v>642</v>
      </c>
      <c r="B208" s="561">
        <f>SUM(B201:B207)</f>
        <v>0</v>
      </c>
      <c r="C208" s="561">
        <f>SUM(C201:C207)</f>
        <v>3496509</v>
      </c>
      <c r="D208" s="561">
        <f t="shared" ref="D208:E208" si="31">SUM(D201:D207)</f>
        <v>0</v>
      </c>
      <c r="E208" s="561">
        <f t="shared" si="31"/>
        <v>3496509</v>
      </c>
    </row>
    <row r="209" spans="1:5" ht="16.5" thickBot="1" x14ac:dyDescent="0.3"/>
    <row r="210" spans="1:5" ht="16.5" thickBot="1" x14ac:dyDescent="0.3">
      <c r="A210" s="587" t="s">
        <v>643</v>
      </c>
      <c r="B210" s="6" t="s">
        <v>598</v>
      </c>
      <c r="C210" s="6" t="s">
        <v>602</v>
      </c>
      <c r="D210" s="6" t="s">
        <v>655</v>
      </c>
      <c r="E210" s="588" t="s">
        <v>192</v>
      </c>
    </row>
    <row r="211" spans="1:5" x14ac:dyDescent="0.25">
      <c r="A211" s="8" t="s">
        <v>644</v>
      </c>
      <c r="B211" s="558"/>
      <c r="C211" s="558"/>
      <c r="D211" s="558">
        <v>1099764</v>
      </c>
      <c r="E211" s="558">
        <f>SUM(B211:D211)</f>
        <v>1099764</v>
      </c>
    </row>
    <row r="212" spans="1:5" x14ac:dyDescent="0.25">
      <c r="A212" s="4" t="s">
        <v>645</v>
      </c>
      <c r="B212" s="559"/>
      <c r="C212" s="559"/>
      <c r="D212" s="559"/>
      <c r="E212" s="558">
        <f t="shared" ref="E212:E215" si="32">SUM(B212:D212)</f>
        <v>0</v>
      </c>
    </row>
    <row r="213" spans="1:5" x14ac:dyDescent="0.25">
      <c r="A213" s="4" t="s">
        <v>646</v>
      </c>
      <c r="B213" s="559"/>
      <c r="C213" s="559"/>
      <c r="D213" s="559">
        <f>2396845-100</f>
        <v>2396745</v>
      </c>
      <c r="E213" s="558">
        <f t="shared" si="32"/>
        <v>2396745</v>
      </c>
    </row>
    <row r="214" spans="1:5" x14ac:dyDescent="0.25">
      <c r="A214" s="4" t="s">
        <v>647</v>
      </c>
      <c r="B214" s="559"/>
      <c r="C214" s="559"/>
      <c r="D214" s="559"/>
      <c r="E214" s="558">
        <f t="shared" si="32"/>
        <v>0</v>
      </c>
    </row>
    <row r="215" spans="1:5" ht="16.5" thickBot="1" x14ac:dyDescent="0.3">
      <c r="A215" s="10"/>
      <c r="B215" s="560"/>
      <c r="C215" s="560"/>
      <c r="D215" s="560"/>
      <c r="E215" s="558">
        <f t="shared" si="32"/>
        <v>0</v>
      </c>
    </row>
    <row r="216" spans="1:5" ht="16.5" thickBot="1" x14ac:dyDescent="0.3">
      <c r="A216" s="37" t="s">
        <v>648</v>
      </c>
      <c r="B216" s="561">
        <f>SUM(B211:B215)</f>
        <v>0</v>
      </c>
      <c r="C216" s="561">
        <f>SUM(C211:C215)</f>
        <v>0</v>
      </c>
      <c r="D216" s="561">
        <f>SUM(D211:D215)</f>
        <v>3496509</v>
      </c>
      <c r="E216" s="561">
        <f>SUM(E211:E215)</f>
        <v>3496509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9.5703125" style="593" bestFit="1" customWidth="1"/>
    <col min="2" max="2" width="47.140625" style="594" customWidth="1"/>
    <col min="3" max="5" width="11.28515625" style="595" customWidth="1"/>
    <col min="6" max="6" width="11.28515625" style="622" customWidth="1"/>
    <col min="7" max="256" width="9.140625" style="594"/>
    <col min="257" max="257" width="9.5703125" style="594" bestFit="1" customWidth="1"/>
    <col min="258" max="258" width="47.140625" style="594" customWidth="1"/>
    <col min="259" max="262" width="11.28515625" style="594" customWidth="1"/>
    <col min="263" max="512" width="9.140625" style="594"/>
    <col min="513" max="513" width="9.5703125" style="594" bestFit="1" customWidth="1"/>
    <col min="514" max="514" width="47.140625" style="594" customWidth="1"/>
    <col min="515" max="518" width="11.28515625" style="594" customWidth="1"/>
    <col min="519" max="768" width="9.140625" style="594"/>
    <col min="769" max="769" width="9.5703125" style="594" bestFit="1" customWidth="1"/>
    <col min="770" max="770" width="47.140625" style="594" customWidth="1"/>
    <col min="771" max="774" width="11.28515625" style="594" customWidth="1"/>
    <col min="775" max="1024" width="9.140625" style="594"/>
    <col min="1025" max="1025" width="9.5703125" style="594" bestFit="1" customWidth="1"/>
    <col min="1026" max="1026" width="47.140625" style="594" customWidth="1"/>
    <col min="1027" max="1030" width="11.28515625" style="594" customWidth="1"/>
    <col min="1031" max="1280" width="9.140625" style="594"/>
    <col min="1281" max="1281" width="9.5703125" style="594" bestFit="1" customWidth="1"/>
    <col min="1282" max="1282" width="47.140625" style="594" customWidth="1"/>
    <col min="1283" max="1286" width="11.28515625" style="594" customWidth="1"/>
    <col min="1287" max="1536" width="9.140625" style="594"/>
    <col min="1537" max="1537" width="9.5703125" style="594" bestFit="1" customWidth="1"/>
    <col min="1538" max="1538" width="47.140625" style="594" customWidth="1"/>
    <col min="1539" max="1542" width="11.28515625" style="594" customWidth="1"/>
    <col min="1543" max="1792" width="9.140625" style="594"/>
    <col min="1793" max="1793" width="9.5703125" style="594" bestFit="1" customWidth="1"/>
    <col min="1794" max="1794" width="47.140625" style="594" customWidth="1"/>
    <col min="1795" max="1798" width="11.28515625" style="594" customWidth="1"/>
    <col min="1799" max="2048" width="9.140625" style="594"/>
    <col min="2049" max="2049" width="9.5703125" style="594" bestFit="1" customWidth="1"/>
    <col min="2050" max="2050" width="47.140625" style="594" customWidth="1"/>
    <col min="2051" max="2054" width="11.28515625" style="594" customWidth="1"/>
    <col min="2055" max="2304" width="9.140625" style="594"/>
    <col min="2305" max="2305" width="9.5703125" style="594" bestFit="1" customWidth="1"/>
    <col min="2306" max="2306" width="47.140625" style="594" customWidth="1"/>
    <col min="2307" max="2310" width="11.28515625" style="594" customWidth="1"/>
    <col min="2311" max="2560" width="9.140625" style="594"/>
    <col min="2561" max="2561" width="9.5703125" style="594" bestFit="1" customWidth="1"/>
    <col min="2562" max="2562" width="47.140625" style="594" customWidth="1"/>
    <col min="2563" max="2566" width="11.28515625" style="594" customWidth="1"/>
    <col min="2567" max="2816" width="9.140625" style="594"/>
    <col min="2817" max="2817" width="9.5703125" style="594" bestFit="1" customWidth="1"/>
    <col min="2818" max="2818" width="47.140625" style="594" customWidth="1"/>
    <col min="2819" max="2822" width="11.28515625" style="594" customWidth="1"/>
    <col min="2823" max="3072" width="9.140625" style="594"/>
    <col min="3073" max="3073" width="9.5703125" style="594" bestFit="1" customWidth="1"/>
    <col min="3074" max="3074" width="47.140625" style="594" customWidth="1"/>
    <col min="3075" max="3078" width="11.28515625" style="594" customWidth="1"/>
    <col min="3079" max="3328" width="9.140625" style="594"/>
    <col min="3329" max="3329" width="9.5703125" style="594" bestFit="1" customWidth="1"/>
    <col min="3330" max="3330" width="47.140625" style="594" customWidth="1"/>
    <col min="3331" max="3334" width="11.28515625" style="594" customWidth="1"/>
    <col min="3335" max="3584" width="9.140625" style="594"/>
    <col min="3585" max="3585" width="9.5703125" style="594" bestFit="1" customWidth="1"/>
    <col min="3586" max="3586" width="47.140625" style="594" customWidth="1"/>
    <col min="3587" max="3590" width="11.28515625" style="594" customWidth="1"/>
    <col min="3591" max="3840" width="9.140625" style="594"/>
    <col min="3841" max="3841" width="9.5703125" style="594" bestFit="1" customWidth="1"/>
    <col min="3842" max="3842" width="47.140625" style="594" customWidth="1"/>
    <col min="3843" max="3846" width="11.28515625" style="594" customWidth="1"/>
    <col min="3847" max="4096" width="9.140625" style="594"/>
    <col min="4097" max="4097" width="9.5703125" style="594" bestFit="1" customWidth="1"/>
    <col min="4098" max="4098" width="47.140625" style="594" customWidth="1"/>
    <col min="4099" max="4102" width="11.28515625" style="594" customWidth="1"/>
    <col min="4103" max="4352" width="9.140625" style="594"/>
    <col min="4353" max="4353" width="9.5703125" style="594" bestFit="1" customWidth="1"/>
    <col min="4354" max="4354" width="47.140625" style="594" customWidth="1"/>
    <col min="4355" max="4358" width="11.28515625" style="594" customWidth="1"/>
    <col min="4359" max="4608" width="9.140625" style="594"/>
    <col min="4609" max="4609" width="9.5703125" style="594" bestFit="1" customWidth="1"/>
    <col min="4610" max="4610" width="47.140625" style="594" customWidth="1"/>
    <col min="4611" max="4614" width="11.28515625" style="594" customWidth="1"/>
    <col min="4615" max="4864" width="9.140625" style="594"/>
    <col min="4865" max="4865" width="9.5703125" style="594" bestFit="1" customWidth="1"/>
    <col min="4866" max="4866" width="47.140625" style="594" customWidth="1"/>
    <col min="4867" max="4870" width="11.28515625" style="594" customWidth="1"/>
    <col min="4871" max="5120" width="9.140625" style="594"/>
    <col min="5121" max="5121" width="9.5703125" style="594" bestFit="1" customWidth="1"/>
    <col min="5122" max="5122" width="47.140625" style="594" customWidth="1"/>
    <col min="5123" max="5126" width="11.28515625" style="594" customWidth="1"/>
    <col min="5127" max="5376" width="9.140625" style="594"/>
    <col min="5377" max="5377" width="9.5703125" style="594" bestFit="1" customWidth="1"/>
    <col min="5378" max="5378" width="47.140625" style="594" customWidth="1"/>
    <col min="5379" max="5382" width="11.28515625" style="594" customWidth="1"/>
    <col min="5383" max="5632" width="9.140625" style="594"/>
    <col min="5633" max="5633" width="9.5703125" style="594" bestFit="1" customWidth="1"/>
    <col min="5634" max="5634" width="47.140625" style="594" customWidth="1"/>
    <col min="5635" max="5638" width="11.28515625" style="594" customWidth="1"/>
    <col min="5639" max="5888" width="9.140625" style="594"/>
    <col min="5889" max="5889" width="9.5703125" style="594" bestFit="1" customWidth="1"/>
    <col min="5890" max="5890" width="47.140625" style="594" customWidth="1"/>
    <col min="5891" max="5894" width="11.28515625" style="594" customWidth="1"/>
    <col min="5895" max="6144" width="9.140625" style="594"/>
    <col min="6145" max="6145" width="9.5703125" style="594" bestFit="1" customWidth="1"/>
    <col min="6146" max="6146" width="47.140625" style="594" customWidth="1"/>
    <col min="6147" max="6150" width="11.28515625" style="594" customWidth="1"/>
    <col min="6151" max="6400" width="9.140625" style="594"/>
    <col min="6401" max="6401" width="9.5703125" style="594" bestFit="1" customWidth="1"/>
    <col min="6402" max="6402" width="47.140625" style="594" customWidth="1"/>
    <col min="6403" max="6406" width="11.28515625" style="594" customWidth="1"/>
    <col min="6407" max="6656" width="9.140625" style="594"/>
    <col min="6657" max="6657" width="9.5703125" style="594" bestFit="1" customWidth="1"/>
    <col min="6658" max="6658" width="47.140625" style="594" customWidth="1"/>
    <col min="6659" max="6662" width="11.28515625" style="594" customWidth="1"/>
    <col min="6663" max="6912" width="9.140625" style="594"/>
    <col min="6913" max="6913" width="9.5703125" style="594" bestFit="1" customWidth="1"/>
    <col min="6914" max="6914" width="47.140625" style="594" customWidth="1"/>
    <col min="6915" max="6918" width="11.28515625" style="594" customWidth="1"/>
    <col min="6919" max="7168" width="9.140625" style="594"/>
    <col min="7169" max="7169" width="9.5703125" style="594" bestFit="1" customWidth="1"/>
    <col min="7170" max="7170" width="47.140625" style="594" customWidth="1"/>
    <col min="7171" max="7174" width="11.28515625" style="594" customWidth="1"/>
    <col min="7175" max="7424" width="9.140625" style="594"/>
    <col min="7425" max="7425" width="9.5703125" style="594" bestFit="1" customWidth="1"/>
    <col min="7426" max="7426" width="47.140625" style="594" customWidth="1"/>
    <col min="7427" max="7430" width="11.28515625" style="594" customWidth="1"/>
    <col min="7431" max="7680" width="9.140625" style="594"/>
    <col min="7681" max="7681" width="9.5703125" style="594" bestFit="1" customWidth="1"/>
    <col min="7682" max="7682" width="47.140625" style="594" customWidth="1"/>
    <col min="7683" max="7686" width="11.28515625" style="594" customWidth="1"/>
    <col min="7687" max="7936" width="9.140625" style="594"/>
    <col min="7937" max="7937" width="9.5703125" style="594" bestFit="1" customWidth="1"/>
    <col min="7938" max="7938" width="47.140625" style="594" customWidth="1"/>
    <col min="7939" max="7942" width="11.28515625" style="594" customWidth="1"/>
    <col min="7943" max="8192" width="9.140625" style="594"/>
    <col min="8193" max="8193" width="9.5703125" style="594" bestFit="1" customWidth="1"/>
    <col min="8194" max="8194" width="47.140625" style="594" customWidth="1"/>
    <col min="8195" max="8198" width="11.28515625" style="594" customWidth="1"/>
    <col min="8199" max="8448" width="9.140625" style="594"/>
    <col min="8449" max="8449" width="9.5703125" style="594" bestFit="1" customWidth="1"/>
    <col min="8450" max="8450" width="47.140625" style="594" customWidth="1"/>
    <col min="8451" max="8454" width="11.28515625" style="594" customWidth="1"/>
    <col min="8455" max="8704" width="9.140625" style="594"/>
    <col min="8705" max="8705" width="9.5703125" style="594" bestFit="1" customWidth="1"/>
    <col min="8706" max="8706" width="47.140625" style="594" customWidth="1"/>
    <col min="8707" max="8710" width="11.28515625" style="594" customWidth="1"/>
    <col min="8711" max="8960" width="9.140625" style="594"/>
    <col min="8961" max="8961" width="9.5703125" style="594" bestFit="1" customWidth="1"/>
    <col min="8962" max="8962" width="47.140625" style="594" customWidth="1"/>
    <col min="8963" max="8966" width="11.28515625" style="594" customWidth="1"/>
    <col min="8967" max="9216" width="9.140625" style="594"/>
    <col min="9217" max="9217" width="9.5703125" style="594" bestFit="1" customWidth="1"/>
    <col min="9218" max="9218" width="47.140625" style="594" customWidth="1"/>
    <col min="9219" max="9222" width="11.28515625" style="594" customWidth="1"/>
    <col min="9223" max="9472" width="9.140625" style="594"/>
    <col min="9473" max="9473" width="9.5703125" style="594" bestFit="1" customWidth="1"/>
    <col min="9474" max="9474" width="47.140625" style="594" customWidth="1"/>
    <col min="9475" max="9478" width="11.28515625" style="594" customWidth="1"/>
    <col min="9479" max="9728" width="9.140625" style="594"/>
    <col min="9729" max="9729" width="9.5703125" style="594" bestFit="1" customWidth="1"/>
    <col min="9730" max="9730" width="47.140625" style="594" customWidth="1"/>
    <col min="9731" max="9734" width="11.28515625" style="594" customWidth="1"/>
    <col min="9735" max="9984" width="9.140625" style="594"/>
    <col min="9985" max="9985" width="9.5703125" style="594" bestFit="1" customWidth="1"/>
    <col min="9986" max="9986" width="47.140625" style="594" customWidth="1"/>
    <col min="9987" max="9990" width="11.28515625" style="594" customWidth="1"/>
    <col min="9991" max="10240" width="9.140625" style="594"/>
    <col min="10241" max="10241" width="9.5703125" style="594" bestFit="1" customWidth="1"/>
    <col min="10242" max="10242" width="47.140625" style="594" customWidth="1"/>
    <col min="10243" max="10246" width="11.28515625" style="594" customWidth="1"/>
    <col min="10247" max="10496" width="9.140625" style="594"/>
    <col min="10497" max="10497" width="9.5703125" style="594" bestFit="1" customWidth="1"/>
    <col min="10498" max="10498" width="47.140625" style="594" customWidth="1"/>
    <col min="10499" max="10502" width="11.28515625" style="594" customWidth="1"/>
    <col min="10503" max="10752" width="9.140625" style="594"/>
    <col min="10753" max="10753" width="9.5703125" style="594" bestFit="1" customWidth="1"/>
    <col min="10754" max="10754" width="47.140625" style="594" customWidth="1"/>
    <col min="10755" max="10758" width="11.28515625" style="594" customWidth="1"/>
    <col min="10759" max="11008" width="9.140625" style="594"/>
    <col min="11009" max="11009" width="9.5703125" style="594" bestFit="1" customWidth="1"/>
    <col min="11010" max="11010" width="47.140625" style="594" customWidth="1"/>
    <col min="11011" max="11014" width="11.28515625" style="594" customWidth="1"/>
    <col min="11015" max="11264" width="9.140625" style="594"/>
    <col min="11265" max="11265" width="9.5703125" style="594" bestFit="1" customWidth="1"/>
    <col min="11266" max="11266" width="47.140625" style="594" customWidth="1"/>
    <col min="11267" max="11270" width="11.28515625" style="594" customWidth="1"/>
    <col min="11271" max="11520" width="9.140625" style="594"/>
    <col min="11521" max="11521" width="9.5703125" style="594" bestFit="1" customWidth="1"/>
    <col min="11522" max="11522" width="47.140625" style="594" customWidth="1"/>
    <col min="11523" max="11526" width="11.28515625" style="594" customWidth="1"/>
    <col min="11527" max="11776" width="9.140625" style="594"/>
    <col min="11777" max="11777" width="9.5703125" style="594" bestFit="1" customWidth="1"/>
    <col min="11778" max="11778" width="47.140625" style="594" customWidth="1"/>
    <col min="11779" max="11782" width="11.28515625" style="594" customWidth="1"/>
    <col min="11783" max="12032" width="9.140625" style="594"/>
    <col min="12033" max="12033" width="9.5703125" style="594" bestFit="1" customWidth="1"/>
    <col min="12034" max="12034" width="47.140625" style="594" customWidth="1"/>
    <col min="12035" max="12038" width="11.28515625" style="594" customWidth="1"/>
    <col min="12039" max="12288" width="9.140625" style="594"/>
    <col min="12289" max="12289" width="9.5703125" style="594" bestFit="1" customWidth="1"/>
    <col min="12290" max="12290" width="47.140625" style="594" customWidth="1"/>
    <col min="12291" max="12294" width="11.28515625" style="594" customWidth="1"/>
    <col min="12295" max="12544" width="9.140625" style="594"/>
    <col min="12545" max="12545" width="9.5703125" style="594" bestFit="1" customWidth="1"/>
    <col min="12546" max="12546" width="47.140625" style="594" customWidth="1"/>
    <col min="12547" max="12550" width="11.28515625" style="594" customWidth="1"/>
    <col min="12551" max="12800" width="9.140625" style="594"/>
    <col min="12801" max="12801" width="9.5703125" style="594" bestFit="1" customWidth="1"/>
    <col min="12802" max="12802" width="47.140625" style="594" customWidth="1"/>
    <col min="12803" max="12806" width="11.28515625" style="594" customWidth="1"/>
    <col min="12807" max="13056" width="9.140625" style="594"/>
    <col min="13057" max="13057" width="9.5703125" style="594" bestFit="1" customWidth="1"/>
    <col min="13058" max="13058" width="47.140625" style="594" customWidth="1"/>
    <col min="13059" max="13062" width="11.28515625" style="594" customWidth="1"/>
    <col min="13063" max="13312" width="9.140625" style="594"/>
    <col min="13313" max="13313" width="9.5703125" style="594" bestFit="1" customWidth="1"/>
    <col min="13314" max="13314" width="47.140625" style="594" customWidth="1"/>
    <col min="13315" max="13318" width="11.28515625" style="594" customWidth="1"/>
    <col min="13319" max="13568" width="9.140625" style="594"/>
    <col min="13569" max="13569" width="9.5703125" style="594" bestFit="1" customWidth="1"/>
    <col min="13570" max="13570" width="47.140625" style="594" customWidth="1"/>
    <col min="13571" max="13574" width="11.28515625" style="594" customWidth="1"/>
    <col min="13575" max="13824" width="9.140625" style="594"/>
    <col min="13825" max="13825" width="9.5703125" style="594" bestFit="1" customWidth="1"/>
    <col min="13826" max="13826" width="47.140625" style="594" customWidth="1"/>
    <col min="13827" max="13830" width="11.28515625" style="594" customWidth="1"/>
    <col min="13831" max="14080" width="9.140625" style="594"/>
    <col min="14081" max="14081" width="9.5703125" style="594" bestFit="1" customWidth="1"/>
    <col min="14082" max="14082" width="47.140625" style="594" customWidth="1"/>
    <col min="14083" max="14086" width="11.28515625" style="594" customWidth="1"/>
    <col min="14087" max="14336" width="9.140625" style="594"/>
    <col min="14337" max="14337" width="9.5703125" style="594" bestFit="1" customWidth="1"/>
    <col min="14338" max="14338" width="47.140625" style="594" customWidth="1"/>
    <col min="14339" max="14342" width="11.28515625" style="594" customWidth="1"/>
    <col min="14343" max="14592" width="9.140625" style="594"/>
    <col min="14593" max="14593" width="9.5703125" style="594" bestFit="1" customWidth="1"/>
    <col min="14594" max="14594" width="47.140625" style="594" customWidth="1"/>
    <col min="14595" max="14598" width="11.28515625" style="594" customWidth="1"/>
    <col min="14599" max="14848" width="9.140625" style="594"/>
    <col min="14849" max="14849" width="9.5703125" style="594" bestFit="1" customWidth="1"/>
    <col min="14850" max="14850" width="47.140625" style="594" customWidth="1"/>
    <col min="14851" max="14854" width="11.28515625" style="594" customWidth="1"/>
    <col min="14855" max="15104" width="9.140625" style="594"/>
    <col min="15105" max="15105" width="9.5703125" style="594" bestFit="1" customWidth="1"/>
    <col min="15106" max="15106" width="47.140625" style="594" customWidth="1"/>
    <col min="15107" max="15110" width="11.28515625" style="594" customWidth="1"/>
    <col min="15111" max="15360" width="9.140625" style="594"/>
    <col min="15361" max="15361" width="9.5703125" style="594" bestFit="1" customWidth="1"/>
    <col min="15362" max="15362" width="47.140625" style="594" customWidth="1"/>
    <col min="15363" max="15366" width="11.28515625" style="594" customWidth="1"/>
    <col min="15367" max="15616" width="9.140625" style="594"/>
    <col min="15617" max="15617" width="9.5703125" style="594" bestFit="1" customWidth="1"/>
    <col min="15618" max="15618" width="47.140625" style="594" customWidth="1"/>
    <col min="15619" max="15622" width="11.28515625" style="594" customWidth="1"/>
    <col min="15623" max="15872" width="9.140625" style="594"/>
    <col min="15873" max="15873" width="9.5703125" style="594" bestFit="1" customWidth="1"/>
    <col min="15874" max="15874" width="47.140625" style="594" customWidth="1"/>
    <col min="15875" max="15878" width="11.28515625" style="594" customWidth="1"/>
    <col min="15879" max="16128" width="9.140625" style="594"/>
    <col min="16129" max="16129" width="9.5703125" style="594" bestFit="1" customWidth="1"/>
    <col min="16130" max="16130" width="47.140625" style="594" customWidth="1"/>
    <col min="16131" max="16134" width="11.28515625" style="594" customWidth="1"/>
    <col min="16135" max="16384" width="9.140625" style="594"/>
  </cols>
  <sheetData>
    <row r="1" spans="1:6" x14ac:dyDescent="0.25">
      <c r="F1" s="596" t="s">
        <v>683</v>
      </c>
    </row>
    <row r="2" spans="1:6" x14ac:dyDescent="0.25">
      <c r="A2" s="597"/>
      <c r="B2" s="598" t="s">
        <v>148</v>
      </c>
      <c r="C2" s="599" t="s">
        <v>171</v>
      </c>
      <c r="D2" s="599" t="s">
        <v>149</v>
      </c>
      <c r="E2" s="600"/>
      <c r="F2" s="601"/>
    </row>
    <row r="3" spans="1:6" ht="15.75" x14ac:dyDescent="0.25">
      <c r="A3" s="597">
        <v>1</v>
      </c>
      <c r="B3" s="892" t="s">
        <v>682</v>
      </c>
      <c r="C3" s="892"/>
      <c r="D3" s="892"/>
      <c r="E3" s="892"/>
      <c r="F3" s="892"/>
    </row>
    <row r="4" spans="1:6" ht="15.75" x14ac:dyDescent="0.25">
      <c r="A4" s="602">
        <v>2</v>
      </c>
      <c r="B4" s="603"/>
      <c r="C4" s="893" t="s">
        <v>596</v>
      </c>
      <c r="D4" s="894"/>
      <c r="E4" s="895"/>
      <c r="F4" s="603"/>
    </row>
    <row r="5" spans="1:6" s="609" customFormat="1" ht="57" x14ac:dyDescent="0.25">
      <c r="A5" s="604">
        <v>3</v>
      </c>
      <c r="B5" s="605" t="s">
        <v>620</v>
      </c>
      <c r="C5" s="606" t="s">
        <v>679</v>
      </c>
      <c r="D5" s="606" t="s">
        <v>680</v>
      </c>
      <c r="E5" s="607" t="s">
        <v>661</v>
      </c>
      <c r="F5" s="608" t="s">
        <v>662</v>
      </c>
    </row>
    <row r="6" spans="1:6" x14ac:dyDescent="0.25">
      <c r="A6" s="602">
        <v>4</v>
      </c>
      <c r="B6" s="610" t="s">
        <v>663</v>
      </c>
      <c r="C6" s="611">
        <v>2366.8850000000002</v>
      </c>
      <c r="D6" s="612">
        <v>2366.8850000000002</v>
      </c>
      <c r="E6" s="612">
        <v>2366.3760000000002</v>
      </c>
      <c r="F6" s="601">
        <f t="shared" ref="F6:F23" si="0">E6/D6</f>
        <v>0.99978494941663831</v>
      </c>
    </row>
    <row r="7" spans="1:6" x14ac:dyDescent="0.25">
      <c r="A7" s="602">
        <v>5</v>
      </c>
      <c r="B7" s="613" t="s">
        <v>664</v>
      </c>
      <c r="C7" s="611">
        <v>536.11500000000001</v>
      </c>
      <c r="D7" s="612">
        <v>536.11500000000001</v>
      </c>
      <c r="E7" s="612">
        <v>536.11500000000001</v>
      </c>
      <c r="F7" s="601">
        <f t="shared" si="0"/>
        <v>1</v>
      </c>
    </row>
    <row r="8" spans="1:6" x14ac:dyDescent="0.25">
      <c r="A8" s="597">
        <v>6</v>
      </c>
      <c r="B8" s="614" t="s">
        <v>666</v>
      </c>
      <c r="C8" s="611"/>
      <c r="D8" s="612">
        <v>40</v>
      </c>
      <c r="E8" s="612">
        <v>40</v>
      </c>
      <c r="F8" s="601">
        <f t="shared" si="0"/>
        <v>1</v>
      </c>
    </row>
    <row r="9" spans="1:6" x14ac:dyDescent="0.25">
      <c r="A9" s="597"/>
      <c r="B9" s="614" t="s">
        <v>668</v>
      </c>
      <c r="C9" s="611"/>
      <c r="D9" s="612">
        <v>190</v>
      </c>
      <c r="E9" s="612">
        <v>190</v>
      </c>
      <c r="F9" s="601">
        <f t="shared" si="0"/>
        <v>1</v>
      </c>
    </row>
    <row r="10" spans="1:6" ht="30" x14ac:dyDescent="0.25">
      <c r="A10" s="597"/>
      <c r="B10" s="624" t="s">
        <v>684</v>
      </c>
      <c r="C10" s="611"/>
      <c r="D10" s="612">
        <v>10</v>
      </c>
      <c r="E10" s="612">
        <v>10</v>
      </c>
      <c r="F10" s="601">
        <f t="shared" si="0"/>
        <v>1</v>
      </c>
    </row>
    <row r="11" spans="1:6" x14ac:dyDescent="0.25">
      <c r="A11" s="597">
        <v>8</v>
      </c>
      <c r="B11" s="613" t="s">
        <v>665</v>
      </c>
      <c r="C11" s="611">
        <v>4000</v>
      </c>
      <c r="D11" s="612"/>
      <c r="E11" s="612"/>
      <c r="F11" s="601"/>
    </row>
    <row r="12" spans="1:6" x14ac:dyDescent="0.25">
      <c r="A12" s="602">
        <v>10</v>
      </c>
      <c r="B12" s="615" t="s">
        <v>667</v>
      </c>
      <c r="C12" s="611"/>
      <c r="D12" s="612">
        <v>2820</v>
      </c>
      <c r="E12" s="612">
        <v>2820</v>
      </c>
      <c r="F12" s="601">
        <f t="shared" si="0"/>
        <v>1</v>
      </c>
    </row>
    <row r="13" spans="1:6" x14ac:dyDescent="0.25">
      <c r="A13" s="597">
        <v>11</v>
      </c>
      <c r="B13" s="613" t="s">
        <v>669</v>
      </c>
      <c r="C13" s="611"/>
      <c r="D13" s="612">
        <v>100</v>
      </c>
      <c r="E13" s="612">
        <v>100</v>
      </c>
      <c r="F13" s="601">
        <f t="shared" si="0"/>
        <v>1</v>
      </c>
    </row>
    <row r="14" spans="1:6" x14ac:dyDescent="0.25">
      <c r="A14" s="602">
        <v>13</v>
      </c>
      <c r="B14" s="613" t="s">
        <v>670</v>
      </c>
      <c r="C14" s="611"/>
      <c r="D14" s="612">
        <v>100</v>
      </c>
      <c r="E14" s="612">
        <v>100</v>
      </c>
      <c r="F14" s="601">
        <f t="shared" si="0"/>
        <v>1</v>
      </c>
    </row>
    <row r="15" spans="1:6" x14ac:dyDescent="0.25">
      <c r="A15" s="602"/>
      <c r="B15" s="625" t="s">
        <v>687</v>
      </c>
      <c r="C15" s="611"/>
      <c r="D15" s="612">
        <v>400</v>
      </c>
      <c r="E15" s="612">
        <v>400</v>
      </c>
      <c r="F15" s="601">
        <f t="shared" si="0"/>
        <v>1</v>
      </c>
    </row>
    <row r="16" spans="1:6" x14ac:dyDescent="0.25">
      <c r="A16" s="602"/>
      <c r="B16" s="625" t="s">
        <v>685</v>
      </c>
      <c r="C16" s="611"/>
      <c r="D16" s="612">
        <v>20</v>
      </c>
      <c r="E16" s="612">
        <v>20</v>
      </c>
      <c r="F16" s="601">
        <f t="shared" si="0"/>
        <v>1</v>
      </c>
    </row>
    <row r="17" spans="1:6" x14ac:dyDescent="0.25">
      <c r="A17" s="602"/>
      <c r="B17" s="625" t="s">
        <v>686</v>
      </c>
      <c r="C17" s="611"/>
      <c r="D17" s="612">
        <v>200</v>
      </c>
      <c r="E17" s="612">
        <v>200</v>
      </c>
      <c r="F17" s="601">
        <f t="shared" si="0"/>
        <v>1</v>
      </c>
    </row>
    <row r="18" spans="1:6" ht="30" x14ac:dyDescent="0.25">
      <c r="A18" s="597">
        <v>16</v>
      </c>
      <c r="B18" s="624" t="s">
        <v>671</v>
      </c>
      <c r="C18" s="611"/>
      <c r="D18" s="612">
        <v>310</v>
      </c>
      <c r="E18" s="612">
        <v>310</v>
      </c>
      <c r="F18" s="601">
        <f t="shared" si="0"/>
        <v>1</v>
      </c>
    </row>
    <row r="19" spans="1:6" x14ac:dyDescent="0.25">
      <c r="A19" s="602">
        <v>17</v>
      </c>
      <c r="B19" s="614" t="s">
        <v>672</v>
      </c>
      <c r="C19" s="611"/>
      <c r="D19" s="612">
        <v>150</v>
      </c>
      <c r="E19" s="612">
        <v>150</v>
      </c>
      <c r="F19" s="601">
        <f t="shared" si="0"/>
        <v>1</v>
      </c>
    </row>
    <row r="20" spans="1:6" x14ac:dyDescent="0.25">
      <c r="A20" s="602">
        <v>18</v>
      </c>
      <c r="B20" s="614" t="s">
        <v>673</v>
      </c>
      <c r="C20" s="611"/>
      <c r="D20" s="612">
        <v>230</v>
      </c>
      <c r="E20" s="612">
        <v>230</v>
      </c>
      <c r="F20" s="601">
        <f t="shared" si="0"/>
        <v>1</v>
      </c>
    </row>
    <row r="21" spans="1:6" ht="30" x14ac:dyDescent="0.25">
      <c r="A21" s="602"/>
      <c r="B21" s="624" t="s">
        <v>688</v>
      </c>
      <c r="C21" s="611">
        <v>956.2</v>
      </c>
      <c r="D21" s="612">
        <v>956.2</v>
      </c>
      <c r="E21" s="612">
        <v>956.11900000000003</v>
      </c>
      <c r="F21" s="601">
        <f t="shared" si="0"/>
        <v>0.99991528968834975</v>
      </c>
    </row>
    <row r="22" spans="1:6" x14ac:dyDescent="0.25">
      <c r="A22" s="597">
        <v>20</v>
      </c>
      <c r="B22" s="614" t="s">
        <v>674</v>
      </c>
      <c r="C22" s="611">
        <v>12.1</v>
      </c>
      <c r="D22" s="612">
        <v>12.1</v>
      </c>
      <c r="E22" s="612">
        <v>12.1</v>
      </c>
      <c r="F22" s="601">
        <f t="shared" si="0"/>
        <v>1</v>
      </c>
    </row>
    <row r="23" spans="1:6" x14ac:dyDescent="0.25">
      <c r="A23" s="602">
        <v>22</v>
      </c>
      <c r="B23" s="613" t="s">
        <v>675</v>
      </c>
      <c r="C23" s="611">
        <v>17445</v>
      </c>
      <c r="D23" s="612">
        <v>21002.544999999998</v>
      </c>
      <c r="E23" s="612">
        <v>21002.544999999998</v>
      </c>
      <c r="F23" s="601">
        <f t="shared" si="0"/>
        <v>1</v>
      </c>
    </row>
    <row r="24" spans="1:6" x14ac:dyDescent="0.25">
      <c r="A24" s="597">
        <v>23</v>
      </c>
      <c r="B24" s="616" t="s">
        <v>676</v>
      </c>
      <c r="C24" s="617">
        <v>520</v>
      </c>
      <c r="D24" s="617">
        <v>520</v>
      </c>
      <c r="E24" s="617">
        <v>500</v>
      </c>
      <c r="F24" s="601">
        <f>E23/D23</f>
        <v>1</v>
      </c>
    </row>
    <row r="25" spans="1:6" x14ac:dyDescent="0.25">
      <c r="A25" s="597">
        <v>24</v>
      </c>
      <c r="B25" s="616" t="s">
        <v>681</v>
      </c>
      <c r="C25" s="617">
        <v>5285</v>
      </c>
      <c r="D25" s="617">
        <v>85</v>
      </c>
      <c r="E25" s="617">
        <v>71.183000000000007</v>
      </c>
      <c r="F25" s="601">
        <f>E24/D24</f>
        <v>0.96153846153846156</v>
      </c>
    </row>
    <row r="26" spans="1:6" x14ac:dyDescent="0.25">
      <c r="A26" s="597">
        <v>26</v>
      </c>
      <c r="B26" s="614" t="s">
        <v>677</v>
      </c>
      <c r="C26" s="611">
        <v>120</v>
      </c>
      <c r="D26" s="612">
        <v>120</v>
      </c>
      <c r="E26" s="612">
        <v>120</v>
      </c>
      <c r="F26" s="601">
        <f>E25/D25</f>
        <v>0.83744705882352954</v>
      </c>
    </row>
    <row r="27" spans="1:6" x14ac:dyDescent="0.25">
      <c r="A27" s="602">
        <v>28</v>
      </c>
      <c r="B27" s="618" t="s">
        <v>678</v>
      </c>
      <c r="C27" s="619">
        <f>SUM(C6:C26)</f>
        <v>31241.3</v>
      </c>
      <c r="D27" s="619">
        <f>SUM(D6:D26)</f>
        <v>30168.845000000001</v>
      </c>
      <c r="E27" s="619">
        <f>SUM(E6:E26)</f>
        <v>30134.437999999998</v>
      </c>
      <c r="F27" s="620">
        <f>E27/D27</f>
        <v>0.99885951881817148</v>
      </c>
    </row>
    <row r="28" spans="1:6" x14ac:dyDescent="0.25">
      <c r="A28" s="623">
        <v>29</v>
      </c>
    </row>
    <row r="29" spans="1:6" x14ac:dyDescent="0.25">
      <c r="A29" s="621"/>
    </row>
    <row r="30" spans="1:6" x14ac:dyDescent="0.25">
      <c r="A30" s="621"/>
    </row>
  </sheetData>
  <mergeCells count="2">
    <mergeCell ref="B3:F3"/>
    <mergeCell ref="C4:E4"/>
  </mergeCells>
  <pageMargins left="0.7" right="0.7" top="0.75" bottom="0.75" header="0.3" footer="0.3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4"/>
  <sheetViews>
    <sheetView workbookViewId="0">
      <selection activeCell="D82" sqref="D82"/>
    </sheetView>
  </sheetViews>
  <sheetFormatPr defaultRowHeight="12.75" x14ac:dyDescent="0.25"/>
  <cols>
    <col min="1" max="1" width="3.5703125" style="626" bestFit="1" customWidth="1"/>
    <col min="2" max="2" width="9.140625" style="627" customWidth="1"/>
    <col min="3" max="3" width="49.28515625" style="627" customWidth="1"/>
    <col min="4" max="4" width="17.5703125" style="627" customWidth="1"/>
    <col min="5" max="7" width="10.7109375" style="627" hidden="1" customWidth="1"/>
    <col min="8" max="8" width="11" style="627" hidden="1" customWidth="1"/>
    <col min="9" max="9" width="9.7109375" style="627" hidden="1" customWidth="1"/>
    <col min="10" max="10" width="0" style="627" hidden="1" customWidth="1"/>
    <col min="11" max="11" width="14.140625" style="627" hidden="1" customWidth="1"/>
    <col min="12" max="256" width="9.140625" style="627"/>
    <col min="257" max="257" width="3.5703125" style="627" bestFit="1" customWidth="1"/>
    <col min="258" max="258" width="9.140625" style="627" customWidth="1"/>
    <col min="259" max="259" width="49.28515625" style="627" customWidth="1"/>
    <col min="260" max="260" width="17.5703125" style="627" customWidth="1"/>
    <col min="261" max="267" width="0" style="627" hidden="1" customWidth="1"/>
    <col min="268" max="512" width="9.140625" style="627"/>
    <col min="513" max="513" width="3.5703125" style="627" bestFit="1" customWidth="1"/>
    <col min="514" max="514" width="9.140625" style="627" customWidth="1"/>
    <col min="515" max="515" width="49.28515625" style="627" customWidth="1"/>
    <col min="516" max="516" width="17.5703125" style="627" customWidth="1"/>
    <col min="517" max="523" width="0" style="627" hidden="1" customWidth="1"/>
    <col min="524" max="768" width="9.140625" style="627"/>
    <col min="769" max="769" width="3.5703125" style="627" bestFit="1" customWidth="1"/>
    <col min="770" max="770" width="9.140625" style="627" customWidth="1"/>
    <col min="771" max="771" width="49.28515625" style="627" customWidth="1"/>
    <col min="772" max="772" width="17.5703125" style="627" customWidth="1"/>
    <col min="773" max="779" width="0" style="627" hidden="1" customWidth="1"/>
    <col min="780" max="1024" width="9.140625" style="627"/>
    <col min="1025" max="1025" width="3.5703125" style="627" bestFit="1" customWidth="1"/>
    <col min="1026" max="1026" width="9.140625" style="627" customWidth="1"/>
    <col min="1027" max="1027" width="49.28515625" style="627" customWidth="1"/>
    <col min="1028" max="1028" width="17.5703125" style="627" customWidth="1"/>
    <col min="1029" max="1035" width="0" style="627" hidden="1" customWidth="1"/>
    <col min="1036" max="1280" width="9.140625" style="627"/>
    <col min="1281" max="1281" width="3.5703125" style="627" bestFit="1" customWidth="1"/>
    <col min="1282" max="1282" width="9.140625" style="627" customWidth="1"/>
    <col min="1283" max="1283" width="49.28515625" style="627" customWidth="1"/>
    <col min="1284" max="1284" width="17.5703125" style="627" customWidth="1"/>
    <col min="1285" max="1291" width="0" style="627" hidden="1" customWidth="1"/>
    <col min="1292" max="1536" width="9.140625" style="627"/>
    <col min="1537" max="1537" width="3.5703125" style="627" bestFit="1" customWidth="1"/>
    <col min="1538" max="1538" width="9.140625" style="627" customWidth="1"/>
    <col min="1539" max="1539" width="49.28515625" style="627" customWidth="1"/>
    <col min="1540" max="1540" width="17.5703125" style="627" customWidth="1"/>
    <col min="1541" max="1547" width="0" style="627" hidden="1" customWidth="1"/>
    <col min="1548" max="1792" width="9.140625" style="627"/>
    <col min="1793" max="1793" width="3.5703125" style="627" bestFit="1" customWidth="1"/>
    <col min="1794" max="1794" width="9.140625" style="627" customWidth="1"/>
    <col min="1795" max="1795" width="49.28515625" style="627" customWidth="1"/>
    <col min="1796" max="1796" width="17.5703125" style="627" customWidth="1"/>
    <col min="1797" max="1803" width="0" style="627" hidden="1" customWidth="1"/>
    <col min="1804" max="2048" width="9.140625" style="627"/>
    <col min="2049" max="2049" width="3.5703125" style="627" bestFit="1" customWidth="1"/>
    <col min="2050" max="2050" width="9.140625" style="627" customWidth="1"/>
    <col min="2051" max="2051" width="49.28515625" style="627" customWidth="1"/>
    <col min="2052" max="2052" width="17.5703125" style="627" customWidth="1"/>
    <col min="2053" max="2059" width="0" style="627" hidden="1" customWidth="1"/>
    <col min="2060" max="2304" width="9.140625" style="627"/>
    <col min="2305" max="2305" width="3.5703125" style="627" bestFit="1" customWidth="1"/>
    <col min="2306" max="2306" width="9.140625" style="627" customWidth="1"/>
    <col min="2307" max="2307" width="49.28515625" style="627" customWidth="1"/>
    <col min="2308" max="2308" width="17.5703125" style="627" customWidth="1"/>
    <col min="2309" max="2315" width="0" style="627" hidden="1" customWidth="1"/>
    <col min="2316" max="2560" width="9.140625" style="627"/>
    <col min="2561" max="2561" width="3.5703125" style="627" bestFit="1" customWidth="1"/>
    <col min="2562" max="2562" width="9.140625" style="627" customWidth="1"/>
    <col min="2563" max="2563" width="49.28515625" style="627" customWidth="1"/>
    <col min="2564" max="2564" width="17.5703125" style="627" customWidth="1"/>
    <col min="2565" max="2571" width="0" style="627" hidden="1" customWidth="1"/>
    <col min="2572" max="2816" width="9.140625" style="627"/>
    <col min="2817" max="2817" width="3.5703125" style="627" bestFit="1" customWidth="1"/>
    <col min="2818" max="2818" width="9.140625" style="627" customWidth="1"/>
    <col min="2819" max="2819" width="49.28515625" style="627" customWidth="1"/>
    <col min="2820" max="2820" width="17.5703125" style="627" customWidth="1"/>
    <col min="2821" max="2827" width="0" style="627" hidden="1" customWidth="1"/>
    <col min="2828" max="3072" width="9.140625" style="627"/>
    <col min="3073" max="3073" width="3.5703125" style="627" bestFit="1" customWidth="1"/>
    <col min="3074" max="3074" width="9.140625" style="627" customWidth="1"/>
    <col min="3075" max="3075" width="49.28515625" style="627" customWidth="1"/>
    <col min="3076" max="3076" width="17.5703125" style="627" customWidth="1"/>
    <col min="3077" max="3083" width="0" style="627" hidden="1" customWidth="1"/>
    <col min="3084" max="3328" width="9.140625" style="627"/>
    <col min="3329" max="3329" width="3.5703125" style="627" bestFit="1" customWidth="1"/>
    <col min="3330" max="3330" width="9.140625" style="627" customWidth="1"/>
    <col min="3331" max="3331" width="49.28515625" style="627" customWidth="1"/>
    <col min="3332" max="3332" width="17.5703125" style="627" customWidth="1"/>
    <col min="3333" max="3339" width="0" style="627" hidden="1" customWidth="1"/>
    <col min="3340" max="3584" width="9.140625" style="627"/>
    <col min="3585" max="3585" width="3.5703125" style="627" bestFit="1" customWidth="1"/>
    <col min="3586" max="3586" width="9.140625" style="627" customWidth="1"/>
    <col min="3587" max="3587" width="49.28515625" style="627" customWidth="1"/>
    <col min="3588" max="3588" width="17.5703125" style="627" customWidth="1"/>
    <col min="3589" max="3595" width="0" style="627" hidden="1" customWidth="1"/>
    <col min="3596" max="3840" width="9.140625" style="627"/>
    <col min="3841" max="3841" width="3.5703125" style="627" bestFit="1" customWidth="1"/>
    <col min="3842" max="3842" width="9.140625" style="627" customWidth="1"/>
    <col min="3843" max="3843" width="49.28515625" style="627" customWidth="1"/>
    <col min="3844" max="3844" width="17.5703125" style="627" customWidth="1"/>
    <col min="3845" max="3851" width="0" style="627" hidden="1" customWidth="1"/>
    <col min="3852" max="4096" width="9.140625" style="627"/>
    <col min="4097" max="4097" width="3.5703125" style="627" bestFit="1" customWidth="1"/>
    <col min="4098" max="4098" width="9.140625" style="627" customWidth="1"/>
    <col min="4099" max="4099" width="49.28515625" style="627" customWidth="1"/>
    <col min="4100" max="4100" width="17.5703125" style="627" customWidth="1"/>
    <col min="4101" max="4107" width="0" style="627" hidden="1" customWidth="1"/>
    <col min="4108" max="4352" width="9.140625" style="627"/>
    <col min="4353" max="4353" width="3.5703125" style="627" bestFit="1" customWidth="1"/>
    <col min="4354" max="4354" width="9.140625" style="627" customWidth="1"/>
    <col min="4355" max="4355" width="49.28515625" style="627" customWidth="1"/>
    <col min="4356" max="4356" width="17.5703125" style="627" customWidth="1"/>
    <col min="4357" max="4363" width="0" style="627" hidden="1" customWidth="1"/>
    <col min="4364" max="4608" width="9.140625" style="627"/>
    <col min="4609" max="4609" width="3.5703125" style="627" bestFit="1" customWidth="1"/>
    <col min="4610" max="4610" width="9.140625" style="627" customWidth="1"/>
    <col min="4611" max="4611" width="49.28515625" style="627" customWidth="1"/>
    <col min="4612" max="4612" width="17.5703125" style="627" customWidth="1"/>
    <col min="4613" max="4619" width="0" style="627" hidden="1" customWidth="1"/>
    <col min="4620" max="4864" width="9.140625" style="627"/>
    <col min="4865" max="4865" width="3.5703125" style="627" bestFit="1" customWidth="1"/>
    <col min="4866" max="4866" width="9.140625" style="627" customWidth="1"/>
    <col min="4867" max="4867" width="49.28515625" style="627" customWidth="1"/>
    <col min="4868" max="4868" width="17.5703125" style="627" customWidth="1"/>
    <col min="4869" max="4875" width="0" style="627" hidden="1" customWidth="1"/>
    <col min="4876" max="5120" width="9.140625" style="627"/>
    <col min="5121" max="5121" width="3.5703125" style="627" bestFit="1" customWidth="1"/>
    <col min="5122" max="5122" width="9.140625" style="627" customWidth="1"/>
    <col min="5123" max="5123" width="49.28515625" style="627" customWidth="1"/>
    <col min="5124" max="5124" width="17.5703125" style="627" customWidth="1"/>
    <col min="5125" max="5131" width="0" style="627" hidden="1" customWidth="1"/>
    <col min="5132" max="5376" width="9.140625" style="627"/>
    <col min="5377" max="5377" width="3.5703125" style="627" bestFit="1" customWidth="1"/>
    <col min="5378" max="5378" width="9.140625" style="627" customWidth="1"/>
    <col min="5379" max="5379" width="49.28515625" style="627" customWidth="1"/>
    <col min="5380" max="5380" width="17.5703125" style="627" customWidth="1"/>
    <col min="5381" max="5387" width="0" style="627" hidden="1" customWidth="1"/>
    <col min="5388" max="5632" width="9.140625" style="627"/>
    <col min="5633" max="5633" width="3.5703125" style="627" bestFit="1" customWidth="1"/>
    <col min="5634" max="5634" width="9.140625" style="627" customWidth="1"/>
    <col min="5635" max="5635" width="49.28515625" style="627" customWidth="1"/>
    <col min="5636" max="5636" width="17.5703125" style="627" customWidth="1"/>
    <col min="5637" max="5643" width="0" style="627" hidden="1" customWidth="1"/>
    <col min="5644" max="5888" width="9.140625" style="627"/>
    <col min="5889" max="5889" width="3.5703125" style="627" bestFit="1" customWidth="1"/>
    <col min="5890" max="5890" width="9.140625" style="627" customWidth="1"/>
    <col min="5891" max="5891" width="49.28515625" style="627" customWidth="1"/>
    <col min="5892" max="5892" width="17.5703125" style="627" customWidth="1"/>
    <col min="5893" max="5899" width="0" style="627" hidden="1" customWidth="1"/>
    <col min="5900" max="6144" width="9.140625" style="627"/>
    <col min="6145" max="6145" width="3.5703125" style="627" bestFit="1" customWidth="1"/>
    <col min="6146" max="6146" width="9.140625" style="627" customWidth="1"/>
    <col min="6147" max="6147" width="49.28515625" style="627" customWidth="1"/>
    <col min="6148" max="6148" width="17.5703125" style="627" customWidth="1"/>
    <col min="6149" max="6155" width="0" style="627" hidden="1" customWidth="1"/>
    <col min="6156" max="6400" width="9.140625" style="627"/>
    <col min="6401" max="6401" width="3.5703125" style="627" bestFit="1" customWidth="1"/>
    <col min="6402" max="6402" width="9.140625" style="627" customWidth="1"/>
    <col min="6403" max="6403" width="49.28515625" style="627" customWidth="1"/>
    <col min="6404" max="6404" width="17.5703125" style="627" customWidth="1"/>
    <col min="6405" max="6411" width="0" style="627" hidden="1" customWidth="1"/>
    <col min="6412" max="6656" width="9.140625" style="627"/>
    <col min="6657" max="6657" width="3.5703125" style="627" bestFit="1" customWidth="1"/>
    <col min="6658" max="6658" width="9.140625" style="627" customWidth="1"/>
    <col min="6659" max="6659" width="49.28515625" style="627" customWidth="1"/>
    <col min="6660" max="6660" width="17.5703125" style="627" customWidth="1"/>
    <col min="6661" max="6667" width="0" style="627" hidden="1" customWidth="1"/>
    <col min="6668" max="6912" width="9.140625" style="627"/>
    <col min="6913" max="6913" width="3.5703125" style="627" bestFit="1" customWidth="1"/>
    <col min="6914" max="6914" width="9.140625" style="627" customWidth="1"/>
    <col min="6915" max="6915" width="49.28515625" style="627" customWidth="1"/>
    <col min="6916" max="6916" width="17.5703125" style="627" customWidth="1"/>
    <col min="6917" max="6923" width="0" style="627" hidden="1" customWidth="1"/>
    <col min="6924" max="7168" width="9.140625" style="627"/>
    <col min="7169" max="7169" width="3.5703125" style="627" bestFit="1" customWidth="1"/>
    <col min="7170" max="7170" width="9.140625" style="627" customWidth="1"/>
    <col min="7171" max="7171" width="49.28515625" style="627" customWidth="1"/>
    <col min="7172" max="7172" width="17.5703125" style="627" customWidth="1"/>
    <col min="7173" max="7179" width="0" style="627" hidden="1" customWidth="1"/>
    <col min="7180" max="7424" width="9.140625" style="627"/>
    <col min="7425" max="7425" width="3.5703125" style="627" bestFit="1" customWidth="1"/>
    <col min="7426" max="7426" width="9.140625" style="627" customWidth="1"/>
    <col min="7427" max="7427" width="49.28515625" style="627" customWidth="1"/>
    <col min="7428" max="7428" width="17.5703125" style="627" customWidth="1"/>
    <col min="7429" max="7435" width="0" style="627" hidden="1" customWidth="1"/>
    <col min="7436" max="7680" width="9.140625" style="627"/>
    <col min="7681" max="7681" width="3.5703125" style="627" bestFit="1" customWidth="1"/>
    <col min="7682" max="7682" width="9.140625" style="627" customWidth="1"/>
    <col min="7683" max="7683" width="49.28515625" style="627" customWidth="1"/>
    <col min="7684" max="7684" width="17.5703125" style="627" customWidth="1"/>
    <col min="7685" max="7691" width="0" style="627" hidden="1" customWidth="1"/>
    <col min="7692" max="7936" width="9.140625" style="627"/>
    <col min="7937" max="7937" width="3.5703125" style="627" bestFit="1" customWidth="1"/>
    <col min="7938" max="7938" width="9.140625" style="627" customWidth="1"/>
    <col min="7939" max="7939" width="49.28515625" style="627" customWidth="1"/>
    <col min="7940" max="7940" width="17.5703125" style="627" customWidth="1"/>
    <col min="7941" max="7947" width="0" style="627" hidden="1" customWidth="1"/>
    <col min="7948" max="8192" width="9.140625" style="627"/>
    <col min="8193" max="8193" width="3.5703125" style="627" bestFit="1" customWidth="1"/>
    <col min="8194" max="8194" width="9.140625" style="627" customWidth="1"/>
    <col min="8195" max="8195" width="49.28515625" style="627" customWidth="1"/>
    <col min="8196" max="8196" width="17.5703125" style="627" customWidth="1"/>
    <col min="8197" max="8203" width="0" style="627" hidden="1" customWidth="1"/>
    <col min="8204" max="8448" width="9.140625" style="627"/>
    <col min="8449" max="8449" width="3.5703125" style="627" bestFit="1" customWidth="1"/>
    <col min="8450" max="8450" width="9.140625" style="627" customWidth="1"/>
    <col min="8451" max="8451" width="49.28515625" style="627" customWidth="1"/>
    <col min="8452" max="8452" width="17.5703125" style="627" customWidth="1"/>
    <col min="8453" max="8459" width="0" style="627" hidden="1" customWidth="1"/>
    <col min="8460" max="8704" width="9.140625" style="627"/>
    <col min="8705" max="8705" width="3.5703125" style="627" bestFit="1" customWidth="1"/>
    <col min="8706" max="8706" width="9.140625" style="627" customWidth="1"/>
    <col min="8707" max="8707" width="49.28515625" style="627" customWidth="1"/>
    <col min="8708" max="8708" width="17.5703125" style="627" customWidth="1"/>
    <col min="8709" max="8715" width="0" style="627" hidden="1" customWidth="1"/>
    <col min="8716" max="8960" width="9.140625" style="627"/>
    <col min="8961" max="8961" width="3.5703125" style="627" bestFit="1" customWidth="1"/>
    <col min="8962" max="8962" width="9.140625" style="627" customWidth="1"/>
    <col min="8963" max="8963" width="49.28515625" style="627" customWidth="1"/>
    <col min="8964" max="8964" width="17.5703125" style="627" customWidth="1"/>
    <col min="8965" max="8971" width="0" style="627" hidden="1" customWidth="1"/>
    <col min="8972" max="9216" width="9.140625" style="627"/>
    <col min="9217" max="9217" width="3.5703125" style="627" bestFit="1" customWidth="1"/>
    <col min="9218" max="9218" width="9.140625" style="627" customWidth="1"/>
    <col min="9219" max="9219" width="49.28515625" style="627" customWidth="1"/>
    <col min="9220" max="9220" width="17.5703125" style="627" customWidth="1"/>
    <col min="9221" max="9227" width="0" style="627" hidden="1" customWidth="1"/>
    <col min="9228" max="9472" width="9.140625" style="627"/>
    <col min="9473" max="9473" width="3.5703125" style="627" bestFit="1" customWidth="1"/>
    <col min="9474" max="9474" width="9.140625" style="627" customWidth="1"/>
    <col min="9475" max="9475" width="49.28515625" style="627" customWidth="1"/>
    <col min="9476" max="9476" width="17.5703125" style="627" customWidth="1"/>
    <col min="9477" max="9483" width="0" style="627" hidden="1" customWidth="1"/>
    <col min="9484" max="9728" width="9.140625" style="627"/>
    <col min="9729" max="9729" width="3.5703125" style="627" bestFit="1" customWidth="1"/>
    <col min="9730" max="9730" width="9.140625" style="627" customWidth="1"/>
    <col min="9731" max="9731" width="49.28515625" style="627" customWidth="1"/>
    <col min="9732" max="9732" width="17.5703125" style="627" customWidth="1"/>
    <col min="9733" max="9739" width="0" style="627" hidden="1" customWidth="1"/>
    <col min="9740" max="9984" width="9.140625" style="627"/>
    <col min="9985" max="9985" width="3.5703125" style="627" bestFit="1" customWidth="1"/>
    <col min="9986" max="9986" width="9.140625" style="627" customWidth="1"/>
    <col min="9987" max="9987" width="49.28515625" style="627" customWidth="1"/>
    <col min="9988" max="9988" width="17.5703125" style="627" customWidth="1"/>
    <col min="9989" max="9995" width="0" style="627" hidden="1" customWidth="1"/>
    <col min="9996" max="10240" width="9.140625" style="627"/>
    <col min="10241" max="10241" width="3.5703125" style="627" bestFit="1" customWidth="1"/>
    <col min="10242" max="10242" width="9.140625" style="627" customWidth="1"/>
    <col min="10243" max="10243" width="49.28515625" style="627" customWidth="1"/>
    <col min="10244" max="10244" width="17.5703125" style="627" customWidth="1"/>
    <col min="10245" max="10251" width="0" style="627" hidden="1" customWidth="1"/>
    <col min="10252" max="10496" width="9.140625" style="627"/>
    <col min="10497" max="10497" width="3.5703125" style="627" bestFit="1" customWidth="1"/>
    <col min="10498" max="10498" width="9.140625" style="627" customWidth="1"/>
    <col min="10499" max="10499" width="49.28515625" style="627" customWidth="1"/>
    <col min="10500" max="10500" width="17.5703125" style="627" customWidth="1"/>
    <col min="10501" max="10507" width="0" style="627" hidden="1" customWidth="1"/>
    <col min="10508" max="10752" width="9.140625" style="627"/>
    <col min="10753" max="10753" width="3.5703125" style="627" bestFit="1" customWidth="1"/>
    <col min="10754" max="10754" width="9.140625" style="627" customWidth="1"/>
    <col min="10755" max="10755" width="49.28515625" style="627" customWidth="1"/>
    <col min="10756" max="10756" width="17.5703125" style="627" customWidth="1"/>
    <col min="10757" max="10763" width="0" style="627" hidden="1" customWidth="1"/>
    <col min="10764" max="11008" width="9.140625" style="627"/>
    <col min="11009" max="11009" width="3.5703125" style="627" bestFit="1" customWidth="1"/>
    <col min="11010" max="11010" width="9.140625" style="627" customWidth="1"/>
    <col min="11011" max="11011" width="49.28515625" style="627" customWidth="1"/>
    <col min="11012" max="11012" width="17.5703125" style="627" customWidth="1"/>
    <col min="11013" max="11019" width="0" style="627" hidden="1" customWidth="1"/>
    <col min="11020" max="11264" width="9.140625" style="627"/>
    <col min="11265" max="11265" width="3.5703125" style="627" bestFit="1" customWidth="1"/>
    <col min="11266" max="11266" width="9.140625" style="627" customWidth="1"/>
    <col min="11267" max="11267" width="49.28515625" style="627" customWidth="1"/>
    <col min="11268" max="11268" width="17.5703125" style="627" customWidth="1"/>
    <col min="11269" max="11275" width="0" style="627" hidden="1" customWidth="1"/>
    <col min="11276" max="11520" width="9.140625" style="627"/>
    <col min="11521" max="11521" width="3.5703125" style="627" bestFit="1" customWidth="1"/>
    <col min="11522" max="11522" width="9.140625" style="627" customWidth="1"/>
    <col min="11523" max="11523" width="49.28515625" style="627" customWidth="1"/>
    <col min="11524" max="11524" width="17.5703125" style="627" customWidth="1"/>
    <col min="11525" max="11531" width="0" style="627" hidden="1" customWidth="1"/>
    <col min="11532" max="11776" width="9.140625" style="627"/>
    <col min="11777" max="11777" width="3.5703125" style="627" bestFit="1" customWidth="1"/>
    <col min="11778" max="11778" width="9.140625" style="627" customWidth="1"/>
    <col min="11779" max="11779" width="49.28515625" style="627" customWidth="1"/>
    <col min="11780" max="11780" width="17.5703125" style="627" customWidth="1"/>
    <col min="11781" max="11787" width="0" style="627" hidden="1" customWidth="1"/>
    <col min="11788" max="12032" width="9.140625" style="627"/>
    <col min="12033" max="12033" width="3.5703125" style="627" bestFit="1" customWidth="1"/>
    <col min="12034" max="12034" width="9.140625" style="627" customWidth="1"/>
    <col min="12035" max="12035" width="49.28515625" style="627" customWidth="1"/>
    <col min="12036" max="12036" width="17.5703125" style="627" customWidth="1"/>
    <col min="12037" max="12043" width="0" style="627" hidden="1" customWidth="1"/>
    <col min="12044" max="12288" width="9.140625" style="627"/>
    <col min="12289" max="12289" width="3.5703125" style="627" bestFit="1" customWidth="1"/>
    <col min="12290" max="12290" width="9.140625" style="627" customWidth="1"/>
    <col min="12291" max="12291" width="49.28515625" style="627" customWidth="1"/>
    <col min="12292" max="12292" width="17.5703125" style="627" customWidth="1"/>
    <col min="12293" max="12299" width="0" style="627" hidden="1" customWidth="1"/>
    <col min="12300" max="12544" width="9.140625" style="627"/>
    <col min="12545" max="12545" width="3.5703125" style="627" bestFit="1" customWidth="1"/>
    <col min="12546" max="12546" width="9.140625" style="627" customWidth="1"/>
    <col min="12547" max="12547" width="49.28515625" style="627" customWidth="1"/>
    <col min="12548" max="12548" width="17.5703125" style="627" customWidth="1"/>
    <col min="12549" max="12555" width="0" style="627" hidden="1" customWidth="1"/>
    <col min="12556" max="12800" width="9.140625" style="627"/>
    <col min="12801" max="12801" width="3.5703125" style="627" bestFit="1" customWidth="1"/>
    <col min="12802" max="12802" width="9.140625" style="627" customWidth="1"/>
    <col min="12803" max="12803" width="49.28515625" style="627" customWidth="1"/>
    <col min="12804" max="12804" width="17.5703125" style="627" customWidth="1"/>
    <col min="12805" max="12811" width="0" style="627" hidden="1" customWidth="1"/>
    <col min="12812" max="13056" width="9.140625" style="627"/>
    <col min="13057" max="13057" width="3.5703125" style="627" bestFit="1" customWidth="1"/>
    <col min="13058" max="13058" width="9.140625" style="627" customWidth="1"/>
    <col min="13059" max="13059" width="49.28515625" style="627" customWidth="1"/>
    <col min="13060" max="13060" width="17.5703125" style="627" customWidth="1"/>
    <col min="13061" max="13067" width="0" style="627" hidden="1" customWidth="1"/>
    <col min="13068" max="13312" width="9.140625" style="627"/>
    <col min="13313" max="13313" width="3.5703125" style="627" bestFit="1" customWidth="1"/>
    <col min="13314" max="13314" width="9.140625" style="627" customWidth="1"/>
    <col min="13315" max="13315" width="49.28515625" style="627" customWidth="1"/>
    <col min="13316" max="13316" width="17.5703125" style="627" customWidth="1"/>
    <col min="13317" max="13323" width="0" style="627" hidden="1" customWidth="1"/>
    <col min="13324" max="13568" width="9.140625" style="627"/>
    <col min="13569" max="13569" width="3.5703125" style="627" bestFit="1" customWidth="1"/>
    <col min="13570" max="13570" width="9.140625" style="627" customWidth="1"/>
    <col min="13571" max="13571" width="49.28515625" style="627" customWidth="1"/>
    <col min="13572" max="13572" width="17.5703125" style="627" customWidth="1"/>
    <col min="13573" max="13579" width="0" style="627" hidden="1" customWidth="1"/>
    <col min="13580" max="13824" width="9.140625" style="627"/>
    <col min="13825" max="13825" width="3.5703125" style="627" bestFit="1" customWidth="1"/>
    <col min="13826" max="13826" width="9.140625" style="627" customWidth="1"/>
    <col min="13827" max="13827" width="49.28515625" style="627" customWidth="1"/>
    <col min="13828" max="13828" width="17.5703125" style="627" customWidth="1"/>
    <col min="13829" max="13835" width="0" style="627" hidden="1" customWidth="1"/>
    <col min="13836" max="14080" width="9.140625" style="627"/>
    <col min="14081" max="14081" width="3.5703125" style="627" bestFit="1" customWidth="1"/>
    <col min="14082" max="14082" width="9.140625" style="627" customWidth="1"/>
    <col min="14083" max="14083" width="49.28515625" style="627" customWidth="1"/>
    <col min="14084" max="14084" width="17.5703125" style="627" customWidth="1"/>
    <col min="14085" max="14091" width="0" style="627" hidden="1" customWidth="1"/>
    <col min="14092" max="14336" width="9.140625" style="627"/>
    <col min="14337" max="14337" width="3.5703125" style="627" bestFit="1" customWidth="1"/>
    <col min="14338" max="14338" width="9.140625" style="627" customWidth="1"/>
    <col min="14339" max="14339" width="49.28515625" style="627" customWidth="1"/>
    <col min="14340" max="14340" width="17.5703125" style="627" customWidth="1"/>
    <col min="14341" max="14347" width="0" style="627" hidden="1" customWidth="1"/>
    <col min="14348" max="14592" width="9.140625" style="627"/>
    <col min="14593" max="14593" width="3.5703125" style="627" bestFit="1" customWidth="1"/>
    <col min="14594" max="14594" width="9.140625" style="627" customWidth="1"/>
    <col min="14595" max="14595" width="49.28515625" style="627" customWidth="1"/>
    <col min="14596" max="14596" width="17.5703125" style="627" customWidth="1"/>
    <col min="14597" max="14603" width="0" style="627" hidden="1" customWidth="1"/>
    <col min="14604" max="14848" width="9.140625" style="627"/>
    <col min="14849" max="14849" width="3.5703125" style="627" bestFit="1" customWidth="1"/>
    <col min="14850" max="14850" width="9.140625" style="627" customWidth="1"/>
    <col min="14851" max="14851" width="49.28515625" style="627" customWidth="1"/>
    <col min="14852" max="14852" width="17.5703125" style="627" customWidth="1"/>
    <col min="14853" max="14859" width="0" style="627" hidden="1" customWidth="1"/>
    <col min="14860" max="15104" width="9.140625" style="627"/>
    <col min="15105" max="15105" width="3.5703125" style="627" bestFit="1" customWidth="1"/>
    <col min="15106" max="15106" width="9.140625" style="627" customWidth="1"/>
    <col min="15107" max="15107" width="49.28515625" style="627" customWidth="1"/>
    <col min="15108" max="15108" width="17.5703125" style="627" customWidth="1"/>
    <col min="15109" max="15115" width="0" style="627" hidden="1" customWidth="1"/>
    <col min="15116" max="15360" width="9.140625" style="627"/>
    <col min="15361" max="15361" width="3.5703125" style="627" bestFit="1" customWidth="1"/>
    <col min="15362" max="15362" width="9.140625" style="627" customWidth="1"/>
    <col min="15363" max="15363" width="49.28515625" style="627" customWidth="1"/>
    <col min="15364" max="15364" width="17.5703125" style="627" customWidth="1"/>
    <col min="15365" max="15371" width="0" style="627" hidden="1" customWidth="1"/>
    <col min="15372" max="15616" width="9.140625" style="627"/>
    <col min="15617" max="15617" width="3.5703125" style="627" bestFit="1" customWidth="1"/>
    <col min="15618" max="15618" width="9.140625" style="627" customWidth="1"/>
    <col min="15619" max="15619" width="49.28515625" style="627" customWidth="1"/>
    <col min="15620" max="15620" width="17.5703125" style="627" customWidth="1"/>
    <col min="15621" max="15627" width="0" style="627" hidden="1" customWidth="1"/>
    <col min="15628" max="15872" width="9.140625" style="627"/>
    <col min="15873" max="15873" width="3.5703125" style="627" bestFit="1" customWidth="1"/>
    <col min="15874" max="15874" width="9.140625" style="627" customWidth="1"/>
    <col min="15875" max="15875" width="49.28515625" style="627" customWidth="1"/>
    <col min="15876" max="15876" width="17.5703125" style="627" customWidth="1"/>
    <col min="15877" max="15883" width="0" style="627" hidden="1" customWidth="1"/>
    <col min="15884" max="16128" width="9.140625" style="627"/>
    <col min="16129" max="16129" width="3.5703125" style="627" bestFit="1" customWidth="1"/>
    <col min="16130" max="16130" width="9.140625" style="627" customWidth="1"/>
    <col min="16131" max="16131" width="49.28515625" style="627" customWidth="1"/>
    <col min="16132" max="16132" width="17.5703125" style="627" customWidth="1"/>
    <col min="16133" max="16139" width="0" style="627" hidden="1" customWidth="1"/>
    <col min="16140" max="16384" width="9.140625" style="627"/>
  </cols>
  <sheetData>
    <row r="1" spans="1:11" ht="13.5" thickBot="1" x14ac:dyDescent="0.25">
      <c r="D1" s="569" t="s">
        <v>713</v>
      </c>
    </row>
    <row r="2" spans="1:11" x14ac:dyDescent="0.25">
      <c r="A2" s="628"/>
      <c r="B2" s="629" t="s">
        <v>148</v>
      </c>
      <c r="C2" s="629" t="s">
        <v>171</v>
      </c>
      <c r="D2" s="629" t="s">
        <v>149</v>
      </c>
      <c r="E2" s="629"/>
      <c r="F2" s="630"/>
      <c r="G2" s="631"/>
    </row>
    <row r="3" spans="1:11" ht="15.75" x14ac:dyDescent="0.25">
      <c r="A3" s="632">
        <v>1</v>
      </c>
      <c r="B3" s="896" t="s">
        <v>714</v>
      </c>
      <c r="C3" s="896"/>
      <c r="D3" s="896"/>
      <c r="E3" s="896"/>
      <c r="F3" s="897"/>
      <c r="G3" s="633"/>
      <c r="H3" s="634"/>
    </row>
    <row r="4" spans="1:11" ht="13.5" thickBot="1" x14ac:dyDescent="0.3">
      <c r="A4" s="635">
        <v>2</v>
      </c>
      <c r="B4" s="898" t="s">
        <v>689</v>
      </c>
      <c r="C4" s="898"/>
      <c r="D4" s="898"/>
      <c r="E4" s="898"/>
      <c r="F4" s="899"/>
      <c r="G4" s="636"/>
      <c r="H4" s="634"/>
    </row>
    <row r="5" spans="1:11" s="641" customFormat="1" ht="38.25" customHeight="1" x14ac:dyDescent="0.25">
      <c r="A5" s="637">
        <v>3</v>
      </c>
      <c r="B5" s="638" t="s">
        <v>690</v>
      </c>
      <c r="C5" s="638" t="s">
        <v>620</v>
      </c>
      <c r="D5" s="639" t="s">
        <v>691</v>
      </c>
      <c r="E5" s="639" t="s">
        <v>715</v>
      </c>
      <c r="F5" s="639" t="s">
        <v>715</v>
      </c>
      <c r="G5" s="640" t="s">
        <v>692</v>
      </c>
      <c r="H5" s="641" t="s">
        <v>693</v>
      </c>
      <c r="I5" s="641" t="s">
        <v>694</v>
      </c>
      <c r="J5" s="641" t="s">
        <v>695</v>
      </c>
    </row>
    <row r="6" spans="1:11" ht="18.75" customHeight="1" x14ac:dyDescent="0.25">
      <c r="A6" s="642">
        <v>4</v>
      </c>
      <c r="B6" s="643" t="s">
        <v>3</v>
      </c>
      <c r="C6" s="644" t="s">
        <v>696</v>
      </c>
      <c r="D6" s="645"/>
      <c r="E6" s="645"/>
      <c r="F6" s="645"/>
      <c r="G6" s="646"/>
    </row>
    <row r="7" spans="1:11" ht="18.75" customHeight="1" x14ac:dyDescent="0.25">
      <c r="A7" s="642">
        <v>5</v>
      </c>
      <c r="B7" s="643" t="s">
        <v>5</v>
      </c>
      <c r="C7" s="644" t="s">
        <v>697</v>
      </c>
      <c r="D7" s="645">
        <v>3701430</v>
      </c>
      <c r="E7" s="645"/>
      <c r="F7" s="645"/>
      <c r="G7" s="646"/>
      <c r="K7" s="647">
        <f>SUM(D7:J7)</f>
        <v>3701430</v>
      </c>
    </row>
    <row r="8" spans="1:11" ht="18.75" customHeight="1" x14ac:dyDescent="0.25">
      <c r="A8" s="642">
        <v>6</v>
      </c>
      <c r="B8" s="643" t="s">
        <v>15</v>
      </c>
      <c r="C8" s="644" t="s">
        <v>698</v>
      </c>
      <c r="D8" s="645">
        <v>458071413</v>
      </c>
      <c r="E8" s="645"/>
      <c r="F8" s="645"/>
      <c r="G8" s="646"/>
      <c r="K8" s="647">
        <f t="shared" ref="K8:K22" si="0">SUM(D8:J8)</f>
        <v>458071413</v>
      </c>
    </row>
    <row r="9" spans="1:11" ht="18.75" customHeight="1" x14ac:dyDescent="0.25">
      <c r="A9" s="642">
        <v>7</v>
      </c>
      <c r="B9" s="643" t="s">
        <v>20</v>
      </c>
      <c r="C9" s="644" t="s">
        <v>699</v>
      </c>
      <c r="D9" s="645">
        <f>SUM(D7:D8)</f>
        <v>461772843</v>
      </c>
      <c r="E9" s="645"/>
      <c r="F9" s="645"/>
      <c r="G9" s="646"/>
      <c r="H9" s="627">
        <v>0</v>
      </c>
      <c r="K9" s="647">
        <f t="shared" si="0"/>
        <v>461772843</v>
      </c>
    </row>
    <row r="10" spans="1:11" ht="18.75" customHeight="1" x14ac:dyDescent="0.25">
      <c r="A10" s="642">
        <v>8</v>
      </c>
      <c r="B10" s="643" t="s">
        <v>29</v>
      </c>
      <c r="C10" s="644" t="s">
        <v>700</v>
      </c>
      <c r="D10" s="645">
        <v>1365231103</v>
      </c>
      <c r="E10" s="645"/>
      <c r="F10" s="645"/>
      <c r="G10" s="646"/>
      <c r="H10" s="627">
        <v>72188665</v>
      </c>
      <c r="I10" s="627">
        <v>137043385</v>
      </c>
      <c r="J10" s="627">
        <v>81349999</v>
      </c>
      <c r="K10" s="647">
        <f t="shared" si="0"/>
        <v>1655813152</v>
      </c>
    </row>
    <row r="11" spans="1:11" ht="18.75" customHeight="1" x14ac:dyDescent="0.25">
      <c r="A11" s="642">
        <v>9</v>
      </c>
      <c r="B11" s="643" t="s">
        <v>52</v>
      </c>
      <c r="C11" s="644" t="s">
        <v>701</v>
      </c>
      <c r="D11" s="645">
        <v>463751093</v>
      </c>
      <c r="E11" s="645"/>
      <c r="F11" s="645"/>
      <c r="G11" s="646"/>
      <c r="H11" s="627">
        <v>419950</v>
      </c>
      <c r="I11" s="627">
        <v>174658</v>
      </c>
      <c r="J11" s="627">
        <v>98399</v>
      </c>
      <c r="K11" s="647">
        <f t="shared" si="0"/>
        <v>464444100</v>
      </c>
    </row>
    <row r="12" spans="1:11" ht="18.75" customHeight="1" x14ac:dyDescent="0.25">
      <c r="A12" s="642">
        <v>10</v>
      </c>
      <c r="B12" s="643" t="s">
        <v>54</v>
      </c>
      <c r="C12" s="644" t="s">
        <v>702</v>
      </c>
      <c r="D12" s="645">
        <v>693962325</v>
      </c>
      <c r="E12" s="645"/>
      <c r="F12" s="645"/>
      <c r="G12" s="646"/>
      <c r="H12" s="627">
        <f>69998540+1748125</f>
        <v>71746665</v>
      </c>
      <c r="I12" s="627">
        <f>136520732+380660</f>
        <v>136901392</v>
      </c>
      <c r="J12" s="627">
        <f>81254999+94934</f>
        <v>81349933</v>
      </c>
      <c r="K12" s="647">
        <f t="shared" si="0"/>
        <v>983960315</v>
      </c>
    </row>
    <row r="13" spans="1:11" ht="18.75" customHeight="1" x14ac:dyDescent="0.25">
      <c r="A13" s="642">
        <v>11</v>
      </c>
      <c r="B13" s="643" t="s">
        <v>56</v>
      </c>
      <c r="C13" s="644" t="s">
        <v>703</v>
      </c>
      <c r="D13" s="645">
        <v>-20022092</v>
      </c>
      <c r="E13" s="645"/>
      <c r="F13" s="645"/>
      <c r="G13" s="646"/>
      <c r="H13" s="627">
        <v>-22049</v>
      </c>
      <c r="I13" s="627">
        <v>50794</v>
      </c>
      <c r="J13" s="627">
        <v>98333</v>
      </c>
      <c r="K13" s="647">
        <f t="shared" si="0"/>
        <v>-19895014</v>
      </c>
    </row>
    <row r="14" spans="1:11" ht="18.75" customHeight="1" x14ac:dyDescent="0.25">
      <c r="A14" s="642">
        <v>12</v>
      </c>
      <c r="B14" s="643" t="s">
        <v>58</v>
      </c>
      <c r="C14" s="644" t="s">
        <v>704</v>
      </c>
      <c r="D14" s="645"/>
      <c r="E14" s="645"/>
      <c r="F14" s="645"/>
      <c r="G14" s="646"/>
      <c r="K14" s="647">
        <f t="shared" si="0"/>
        <v>0</v>
      </c>
    </row>
    <row r="15" spans="1:11" ht="18.75" customHeight="1" x14ac:dyDescent="0.25">
      <c r="A15" s="642">
        <v>13</v>
      </c>
      <c r="B15" s="643" t="s">
        <v>59</v>
      </c>
      <c r="C15" s="644" t="s">
        <v>705</v>
      </c>
      <c r="D15" s="645"/>
      <c r="E15" s="645"/>
      <c r="F15" s="645"/>
      <c r="G15" s="646"/>
      <c r="K15" s="647">
        <f t="shared" si="0"/>
        <v>0</v>
      </c>
    </row>
    <row r="16" spans="1:11" ht="18.75" customHeight="1" x14ac:dyDescent="0.25">
      <c r="A16" s="642">
        <v>14</v>
      </c>
      <c r="B16" s="643" t="s">
        <v>67</v>
      </c>
      <c r="C16" s="644" t="s">
        <v>706</v>
      </c>
      <c r="D16" s="645"/>
      <c r="E16" s="645"/>
      <c r="F16" s="645"/>
      <c r="G16" s="646"/>
      <c r="K16" s="647">
        <f t="shared" si="0"/>
        <v>0</v>
      </c>
    </row>
    <row r="17" spans="1:11" ht="18.75" customHeight="1" x14ac:dyDescent="0.25">
      <c r="A17" s="642">
        <v>15</v>
      </c>
      <c r="B17" s="643" t="s">
        <v>69</v>
      </c>
      <c r="C17" s="644" t="s">
        <v>707</v>
      </c>
      <c r="D17" s="645"/>
      <c r="E17" s="645"/>
      <c r="F17" s="645"/>
      <c r="G17" s="646"/>
      <c r="H17" s="627">
        <v>-1</v>
      </c>
      <c r="I17" s="627">
        <v>-18129</v>
      </c>
      <c r="K17" s="647">
        <f t="shared" si="0"/>
        <v>-18130</v>
      </c>
    </row>
    <row r="18" spans="1:11" ht="18.75" customHeight="1" x14ac:dyDescent="0.25">
      <c r="A18" s="642">
        <v>16</v>
      </c>
      <c r="B18" s="643" t="s">
        <v>71</v>
      </c>
      <c r="C18" s="644" t="s">
        <v>708</v>
      </c>
      <c r="D18" s="645">
        <f>D10-D11-D12+D13</f>
        <v>187495593</v>
      </c>
      <c r="E18" s="645">
        <f t="shared" ref="E18:J18" si="1">SUM(E10-E11-E12+E13+E17)</f>
        <v>0</v>
      </c>
      <c r="F18" s="645">
        <f t="shared" si="1"/>
        <v>0</v>
      </c>
      <c r="G18" s="645"/>
      <c r="H18" s="645">
        <f t="shared" si="1"/>
        <v>0</v>
      </c>
      <c r="I18" s="645">
        <f t="shared" si="1"/>
        <v>0</v>
      </c>
      <c r="J18" s="645">
        <f t="shared" si="1"/>
        <v>0</v>
      </c>
      <c r="K18" s="647">
        <f t="shared" si="0"/>
        <v>187495593</v>
      </c>
    </row>
    <row r="19" spans="1:11" ht="18.75" customHeight="1" x14ac:dyDescent="0.25">
      <c r="A19" s="642">
        <v>17</v>
      </c>
      <c r="B19" s="643" t="s">
        <v>77</v>
      </c>
      <c r="C19" s="644" t="s">
        <v>709</v>
      </c>
      <c r="D19" s="645"/>
      <c r="E19" s="645"/>
      <c r="F19" s="645"/>
      <c r="G19" s="646"/>
      <c r="K19" s="647">
        <f t="shared" si="0"/>
        <v>0</v>
      </c>
    </row>
    <row r="20" spans="1:11" ht="18.75" customHeight="1" x14ac:dyDescent="0.25">
      <c r="A20" s="642">
        <v>18</v>
      </c>
      <c r="B20" s="643" t="s">
        <v>79</v>
      </c>
      <c r="C20" s="644" t="s">
        <v>710</v>
      </c>
      <c r="D20" s="645">
        <v>2293944</v>
      </c>
      <c r="E20" s="645"/>
      <c r="F20" s="645"/>
      <c r="G20" s="646"/>
      <c r="K20" s="647">
        <f t="shared" si="0"/>
        <v>2293944</v>
      </c>
    </row>
    <row r="21" spans="1:11" ht="18.75" customHeight="1" x14ac:dyDescent="0.25">
      <c r="A21" s="642">
        <v>19</v>
      </c>
      <c r="B21" s="643" t="s">
        <v>155</v>
      </c>
      <c r="C21" s="644" t="s">
        <v>711</v>
      </c>
      <c r="D21" s="645">
        <v>646974492</v>
      </c>
      <c r="E21" s="645"/>
      <c r="F21" s="645"/>
      <c r="G21" s="646"/>
      <c r="K21" s="647">
        <f t="shared" si="0"/>
        <v>646974492</v>
      </c>
    </row>
    <row r="22" spans="1:11" ht="18.75" customHeight="1" x14ac:dyDescent="0.25">
      <c r="A22" s="642">
        <v>20</v>
      </c>
      <c r="B22" s="643" t="s">
        <v>83</v>
      </c>
      <c r="C22" s="644" t="s">
        <v>712</v>
      </c>
      <c r="D22" s="645">
        <f>SUM(D20:D21)</f>
        <v>649268436</v>
      </c>
      <c r="E22" s="645"/>
      <c r="F22" s="645"/>
      <c r="G22" s="646"/>
      <c r="H22" s="627">
        <v>0</v>
      </c>
      <c r="I22" s="627">
        <v>0</v>
      </c>
      <c r="K22" s="647">
        <f t="shared" si="0"/>
        <v>649268436</v>
      </c>
    </row>
    <row r="24" spans="1:11" ht="13.5" thickBot="1" x14ac:dyDescent="0.3">
      <c r="C24" s="648"/>
    </row>
    <row r="25" spans="1:11" x14ac:dyDescent="0.25">
      <c r="A25" s="628"/>
      <c r="B25" s="629" t="s">
        <v>148</v>
      </c>
      <c r="C25" s="629" t="s">
        <v>171</v>
      </c>
      <c r="D25" s="629" t="s">
        <v>149</v>
      </c>
      <c r="E25" s="629"/>
      <c r="F25" s="630"/>
    </row>
    <row r="26" spans="1:11" ht="15.75" x14ac:dyDescent="0.25">
      <c r="A26" s="632">
        <v>1</v>
      </c>
      <c r="B26" s="896" t="s">
        <v>716</v>
      </c>
      <c r="C26" s="896"/>
      <c r="D26" s="896"/>
      <c r="E26" s="896"/>
      <c r="F26" s="897"/>
    </row>
    <row r="27" spans="1:11" ht="13.5" thickBot="1" x14ac:dyDescent="0.3">
      <c r="A27" s="635">
        <v>2</v>
      </c>
      <c r="B27" s="898" t="s">
        <v>689</v>
      </c>
      <c r="C27" s="898"/>
      <c r="D27" s="898"/>
      <c r="E27" s="898"/>
      <c r="F27" s="899"/>
    </row>
    <row r="28" spans="1:11" ht="38.25" x14ac:dyDescent="0.25">
      <c r="A28" s="637">
        <v>3</v>
      </c>
      <c r="B28" s="638" t="s">
        <v>690</v>
      </c>
      <c r="C28" s="638" t="s">
        <v>620</v>
      </c>
      <c r="D28" s="639" t="s">
        <v>691</v>
      </c>
      <c r="E28" s="639" t="s">
        <v>715</v>
      </c>
      <c r="F28" s="639" t="s">
        <v>715</v>
      </c>
    </row>
    <row r="29" spans="1:11" x14ac:dyDescent="0.25">
      <c r="A29" s="642">
        <v>4</v>
      </c>
      <c r="B29" s="643" t="s">
        <v>3</v>
      </c>
      <c r="C29" s="644" t="s">
        <v>696</v>
      </c>
      <c r="D29" s="645"/>
      <c r="E29" s="645"/>
      <c r="F29" s="645"/>
    </row>
    <row r="30" spans="1:11" x14ac:dyDescent="0.25">
      <c r="A30" s="642">
        <v>5</v>
      </c>
      <c r="B30" s="643" t="s">
        <v>5</v>
      </c>
      <c r="C30" s="644" t="s">
        <v>697</v>
      </c>
      <c r="D30" s="645"/>
      <c r="E30" s="645"/>
      <c r="F30" s="645"/>
    </row>
    <row r="31" spans="1:11" x14ac:dyDescent="0.25">
      <c r="A31" s="642">
        <v>6</v>
      </c>
      <c r="B31" s="643" t="s">
        <v>15</v>
      </c>
      <c r="C31" s="644" t="s">
        <v>698</v>
      </c>
      <c r="D31" s="645"/>
      <c r="E31" s="645"/>
      <c r="F31" s="645"/>
    </row>
    <row r="32" spans="1:11" x14ac:dyDescent="0.25">
      <c r="A32" s="642">
        <v>7</v>
      </c>
      <c r="B32" s="643" t="s">
        <v>20</v>
      </c>
      <c r="C32" s="644" t="s">
        <v>699</v>
      </c>
      <c r="D32" s="645">
        <v>0</v>
      </c>
      <c r="E32" s="645"/>
      <c r="F32" s="645"/>
    </row>
    <row r="33" spans="1:6" x14ac:dyDescent="0.25">
      <c r="A33" s="642">
        <v>8</v>
      </c>
      <c r="B33" s="643" t="s">
        <v>29</v>
      </c>
      <c r="C33" s="644" t="s">
        <v>700</v>
      </c>
      <c r="D33" s="645">
        <v>82999418</v>
      </c>
      <c r="E33" s="645"/>
      <c r="F33" s="645"/>
    </row>
    <row r="34" spans="1:6" x14ac:dyDescent="0.25">
      <c r="A34" s="642">
        <v>9</v>
      </c>
      <c r="B34" s="643" t="s">
        <v>52</v>
      </c>
      <c r="C34" s="644" t="s">
        <v>701</v>
      </c>
      <c r="D34" s="645">
        <v>371664</v>
      </c>
      <c r="E34" s="645"/>
      <c r="F34" s="645"/>
    </row>
    <row r="35" spans="1:6" x14ac:dyDescent="0.25">
      <c r="A35" s="642">
        <v>10</v>
      </c>
      <c r="B35" s="643" t="s">
        <v>54</v>
      </c>
      <c r="C35" s="644" t="s">
        <v>702</v>
      </c>
      <c r="D35" s="645">
        <v>82366921</v>
      </c>
      <c r="E35" s="645"/>
      <c r="F35" s="645"/>
    </row>
    <row r="36" spans="1:6" x14ac:dyDescent="0.25">
      <c r="A36" s="642">
        <v>11</v>
      </c>
      <c r="B36" s="643" t="s">
        <v>56</v>
      </c>
      <c r="C36" s="644" t="s">
        <v>703</v>
      </c>
      <c r="D36" s="645">
        <v>-260833</v>
      </c>
      <c r="E36" s="645"/>
      <c r="F36" s="645"/>
    </row>
    <row r="37" spans="1:6" x14ac:dyDescent="0.25">
      <c r="A37" s="642">
        <v>12</v>
      </c>
      <c r="B37" s="643" t="s">
        <v>58</v>
      </c>
      <c r="C37" s="644" t="s">
        <v>704</v>
      </c>
      <c r="D37" s="645"/>
      <c r="E37" s="645"/>
      <c r="F37" s="645"/>
    </row>
    <row r="38" spans="1:6" x14ac:dyDescent="0.25">
      <c r="A38" s="642">
        <v>13</v>
      </c>
      <c r="B38" s="643" t="s">
        <v>59</v>
      </c>
      <c r="C38" s="644" t="s">
        <v>705</v>
      </c>
      <c r="D38" s="645"/>
      <c r="E38" s="645"/>
      <c r="F38" s="645"/>
    </row>
    <row r="39" spans="1:6" x14ac:dyDescent="0.25">
      <c r="A39" s="642">
        <v>14</v>
      </c>
      <c r="B39" s="643" t="s">
        <v>67</v>
      </c>
      <c r="C39" s="644" t="s">
        <v>706</v>
      </c>
      <c r="D39" s="645"/>
      <c r="E39" s="645"/>
      <c r="F39" s="645"/>
    </row>
    <row r="40" spans="1:6" x14ac:dyDescent="0.25">
      <c r="A40" s="642">
        <v>15</v>
      </c>
      <c r="B40" s="643" t="s">
        <v>69</v>
      </c>
      <c r="C40" s="644" t="s">
        <v>707</v>
      </c>
      <c r="D40" s="645"/>
      <c r="E40" s="645"/>
      <c r="F40" s="645"/>
    </row>
    <row r="41" spans="1:6" ht="25.5" x14ac:dyDescent="0.25">
      <c r="A41" s="642">
        <v>16</v>
      </c>
      <c r="B41" s="643" t="s">
        <v>71</v>
      </c>
      <c r="C41" s="644" t="s">
        <v>708</v>
      </c>
      <c r="D41" s="645">
        <f>SUM(D33-D34-D35+D36+D40)</f>
        <v>0</v>
      </c>
      <c r="E41" s="645">
        <f>SUM(E33-E34-E35+E36+E40)</f>
        <v>0</v>
      </c>
      <c r="F41" s="645">
        <f>SUM(F33-F34-F35+F36+F40)</f>
        <v>0</v>
      </c>
    </row>
    <row r="42" spans="1:6" x14ac:dyDescent="0.25">
      <c r="A42" s="642">
        <v>17</v>
      </c>
      <c r="B42" s="643" t="s">
        <v>77</v>
      </c>
      <c r="C42" s="644" t="s">
        <v>709</v>
      </c>
      <c r="D42" s="645"/>
      <c r="E42" s="645"/>
      <c r="F42" s="645"/>
    </row>
    <row r="43" spans="1:6" x14ac:dyDescent="0.25">
      <c r="A43" s="642">
        <v>18</v>
      </c>
      <c r="B43" s="643" t="s">
        <v>79</v>
      </c>
      <c r="C43" s="644" t="s">
        <v>710</v>
      </c>
      <c r="D43" s="645"/>
      <c r="E43" s="645"/>
      <c r="F43" s="645"/>
    </row>
    <row r="44" spans="1:6" x14ac:dyDescent="0.25">
      <c r="A44" s="642">
        <v>19</v>
      </c>
      <c r="B44" s="643" t="s">
        <v>155</v>
      </c>
      <c r="C44" s="644" t="s">
        <v>711</v>
      </c>
      <c r="D44" s="645"/>
      <c r="E44" s="645"/>
      <c r="F44" s="645"/>
    </row>
    <row r="45" spans="1:6" x14ac:dyDescent="0.25">
      <c r="A45" s="642">
        <v>20</v>
      </c>
      <c r="B45" s="643" t="s">
        <v>83</v>
      </c>
      <c r="C45" s="644" t="s">
        <v>712</v>
      </c>
      <c r="D45" s="645"/>
      <c r="E45" s="645"/>
      <c r="F45" s="645"/>
    </row>
    <row r="47" spans="1:6" ht="13.5" thickBot="1" x14ac:dyDescent="0.3"/>
    <row r="48" spans="1:6" x14ac:dyDescent="0.25">
      <c r="A48" s="628"/>
      <c r="B48" s="629" t="s">
        <v>148</v>
      </c>
      <c r="C48" s="629" t="s">
        <v>171</v>
      </c>
      <c r="D48" s="629" t="s">
        <v>149</v>
      </c>
      <c r="E48" s="629"/>
      <c r="F48" s="630"/>
    </row>
    <row r="49" spans="1:6" ht="51.75" customHeight="1" x14ac:dyDescent="0.25">
      <c r="A49" s="632">
        <v>1</v>
      </c>
      <c r="B49" s="896" t="s">
        <v>717</v>
      </c>
      <c r="C49" s="896"/>
      <c r="D49" s="896"/>
      <c r="E49" s="896"/>
      <c r="F49" s="897"/>
    </row>
    <row r="50" spans="1:6" ht="13.5" thickBot="1" x14ac:dyDescent="0.3">
      <c r="A50" s="635">
        <v>2</v>
      </c>
      <c r="B50" s="898" t="s">
        <v>689</v>
      </c>
      <c r="C50" s="898"/>
      <c r="D50" s="898"/>
      <c r="E50" s="898"/>
      <c r="F50" s="899"/>
    </row>
    <row r="51" spans="1:6" ht="38.25" x14ac:dyDescent="0.25">
      <c r="A51" s="637">
        <v>3</v>
      </c>
      <c r="B51" s="638" t="s">
        <v>690</v>
      </c>
      <c r="C51" s="638" t="s">
        <v>620</v>
      </c>
      <c r="D51" s="639" t="s">
        <v>691</v>
      </c>
      <c r="E51" s="639" t="s">
        <v>715</v>
      </c>
      <c r="F51" s="639" t="s">
        <v>715</v>
      </c>
    </row>
    <row r="52" spans="1:6" x14ac:dyDescent="0.25">
      <c r="A52" s="642">
        <v>4</v>
      </c>
      <c r="B52" s="643" t="s">
        <v>3</v>
      </c>
      <c r="C52" s="644" t="s">
        <v>696</v>
      </c>
      <c r="D52" s="645"/>
      <c r="E52" s="645"/>
      <c r="F52" s="645"/>
    </row>
    <row r="53" spans="1:6" x14ac:dyDescent="0.25">
      <c r="A53" s="642">
        <v>5</v>
      </c>
      <c r="B53" s="643" t="s">
        <v>5</v>
      </c>
      <c r="C53" s="644" t="s">
        <v>697</v>
      </c>
      <c r="D53" s="645"/>
      <c r="E53" s="645"/>
      <c r="F53" s="645"/>
    </row>
    <row r="54" spans="1:6" x14ac:dyDescent="0.25">
      <c r="A54" s="642">
        <v>6</v>
      </c>
      <c r="B54" s="643" t="s">
        <v>15</v>
      </c>
      <c r="C54" s="644" t="s">
        <v>698</v>
      </c>
      <c r="D54" s="645"/>
      <c r="E54" s="645"/>
      <c r="F54" s="645"/>
    </row>
    <row r="55" spans="1:6" x14ac:dyDescent="0.25">
      <c r="A55" s="642">
        <v>7</v>
      </c>
      <c r="B55" s="643" t="s">
        <v>20</v>
      </c>
      <c r="C55" s="644" t="s">
        <v>699</v>
      </c>
      <c r="D55" s="645">
        <f>SUM(D53:D54)</f>
        <v>0</v>
      </c>
      <c r="E55" s="645"/>
      <c r="F55" s="645"/>
    </row>
    <row r="56" spans="1:6" x14ac:dyDescent="0.25">
      <c r="A56" s="642">
        <v>8</v>
      </c>
      <c r="B56" s="643" t="s">
        <v>29</v>
      </c>
      <c r="C56" s="644" t="s">
        <v>700</v>
      </c>
      <c r="D56" s="645">
        <v>149731648</v>
      </c>
      <c r="E56" s="645"/>
      <c r="F56" s="645"/>
    </row>
    <row r="57" spans="1:6" x14ac:dyDescent="0.25">
      <c r="A57" s="642">
        <v>9</v>
      </c>
      <c r="B57" s="643" t="s">
        <v>52</v>
      </c>
      <c r="C57" s="644" t="s">
        <v>720</v>
      </c>
      <c r="D57" s="645">
        <v>483499</v>
      </c>
      <c r="E57" s="645"/>
      <c r="F57" s="645"/>
    </row>
    <row r="58" spans="1:6" x14ac:dyDescent="0.25">
      <c r="A58" s="642">
        <v>10</v>
      </c>
      <c r="B58" s="643" t="s">
        <v>54</v>
      </c>
      <c r="C58" s="644" t="s">
        <v>702</v>
      </c>
      <c r="D58" s="645">
        <v>149414982</v>
      </c>
      <c r="E58" s="645"/>
      <c r="F58" s="645"/>
    </row>
    <row r="59" spans="1:6" x14ac:dyDescent="0.25">
      <c r="A59" s="642">
        <v>11</v>
      </c>
      <c r="B59" s="643" t="s">
        <v>56</v>
      </c>
      <c r="C59" s="644" t="s">
        <v>703</v>
      </c>
      <c r="D59" s="645">
        <v>166833</v>
      </c>
      <c r="E59" s="645"/>
      <c r="F59" s="645"/>
    </row>
    <row r="60" spans="1:6" x14ac:dyDescent="0.25">
      <c r="A60" s="642">
        <v>12</v>
      </c>
      <c r="B60" s="643" t="s">
        <v>58</v>
      </c>
      <c r="C60" s="644" t="s">
        <v>704</v>
      </c>
      <c r="D60" s="645"/>
      <c r="E60" s="645"/>
      <c r="F60" s="645"/>
    </row>
    <row r="61" spans="1:6" x14ac:dyDescent="0.25">
      <c r="A61" s="642">
        <v>13</v>
      </c>
      <c r="B61" s="643" t="s">
        <v>59</v>
      </c>
      <c r="C61" s="644" t="s">
        <v>705</v>
      </c>
      <c r="D61" s="645"/>
      <c r="E61" s="645"/>
      <c r="F61" s="645"/>
    </row>
    <row r="62" spans="1:6" x14ac:dyDescent="0.25">
      <c r="A62" s="642">
        <v>14</v>
      </c>
      <c r="B62" s="643" t="s">
        <v>67</v>
      </c>
      <c r="C62" s="644" t="s">
        <v>706</v>
      </c>
      <c r="D62" s="645"/>
      <c r="E62" s="645"/>
      <c r="F62" s="645"/>
    </row>
    <row r="63" spans="1:6" x14ac:dyDescent="0.25">
      <c r="A63" s="642">
        <v>15</v>
      </c>
      <c r="B63" s="643" t="s">
        <v>69</v>
      </c>
      <c r="C63" s="644" t="s">
        <v>707</v>
      </c>
      <c r="D63" s="645"/>
      <c r="E63" s="645"/>
      <c r="F63" s="645"/>
    </row>
    <row r="64" spans="1:6" ht="25.5" x14ac:dyDescent="0.25">
      <c r="A64" s="642">
        <v>16</v>
      </c>
      <c r="B64" s="643" t="s">
        <v>71</v>
      </c>
      <c r="C64" s="644" t="s">
        <v>708</v>
      </c>
      <c r="D64" s="645">
        <f>D56-D57-D58+D59</f>
        <v>0</v>
      </c>
      <c r="E64" s="645">
        <f>SUM(E56-E57-E58+E59+E63)</f>
        <v>0</v>
      </c>
      <c r="F64" s="645">
        <f>SUM(F56-F57-F58+F59+F63)</f>
        <v>0</v>
      </c>
    </row>
    <row r="65" spans="1:6" x14ac:dyDescent="0.25">
      <c r="A65" s="642">
        <v>17</v>
      </c>
      <c r="B65" s="643" t="s">
        <v>77</v>
      </c>
      <c r="C65" s="644" t="s">
        <v>709</v>
      </c>
      <c r="D65" s="645"/>
      <c r="E65" s="645"/>
      <c r="F65" s="645"/>
    </row>
    <row r="66" spans="1:6" x14ac:dyDescent="0.25">
      <c r="A66" s="642">
        <v>18</v>
      </c>
      <c r="B66" s="643" t="s">
        <v>79</v>
      </c>
      <c r="C66" s="644" t="s">
        <v>710</v>
      </c>
      <c r="D66" s="645"/>
      <c r="E66" s="645"/>
      <c r="F66" s="645"/>
    </row>
    <row r="67" spans="1:6" x14ac:dyDescent="0.25">
      <c r="A67" s="642">
        <v>19</v>
      </c>
      <c r="B67" s="643" t="s">
        <v>155</v>
      </c>
      <c r="C67" s="644" t="s">
        <v>711</v>
      </c>
      <c r="D67" s="645"/>
      <c r="E67" s="645"/>
      <c r="F67" s="645"/>
    </row>
    <row r="68" spans="1:6" x14ac:dyDescent="0.25">
      <c r="A68" s="642">
        <v>20</v>
      </c>
      <c r="B68" s="643" t="s">
        <v>83</v>
      </c>
      <c r="C68" s="644" t="s">
        <v>712</v>
      </c>
      <c r="D68" s="645"/>
      <c r="E68" s="645"/>
      <c r="F68" s="645"/>
    </row>
    <row r="70" spans="1:6" ht="13.5" thickBot="1" x14ac:dyDescent="0.3"/>
    <row r="71" spans="1:6" x14ac:dyDescent="0.25">
      <c r="A71" s="628"/>
      <c r="B71" s="629" t="s">
        <v>148</v>
      </c>
      <c r="C71" s="629" t="s">
        <v>171</v>
      </c>
      <c r="D71" s="629" t="s">
        <v>149</v>
      </c>
      <c r="E71" s="629"/>
      <c r="F71" s="630"/>
    </row>
    <row r="72" spans="1:6" ht="33.75" customHeight="1" x14ac:dyDescent="0.25">
      <c r="A72" s="632">
        <v>1</v>
      </c>
      <c r="B72" s="896" t="s">
        <v>718</v>
      </c>
      <c r="C72" s="896"/>
      <c r="D72" s="896"/>
      <c r="E72" s="896"/>
      <c r="F72" s="897"/>
    </row>
    <row r="73" spans="1:6" ht="13.5" thickBot="1" x14ac:dyDescent="0.3">
      <c r="A73" s="635">
        <v>2</v>
      </c>
      <c r="B73" s="898" t="s">
        <v>689</v>
      </c>
      <c r="C73" s="898"/>
      <c r="D73" s="898"/>
      <c r="E73" s="898"/>
      <c r="F73" s="899"/>
    </row>
    <row r="74" spans="1:6" ht="38.25" x14ac:dyDescent="0.25">
      <c r="A74" s="637">
        <v>3</v>
      </c>
      <c r="B74" s="638" t="s">
        <v>690</v>
      </c>
      <c r="C74" s="638" t="s">
        <v>620</v>
      </c>
      <c r="D74" s="639" t="s">
        <v>691</v>
      </c>
      <c r="E74" s="639" t="s">
        <v>715</v>
      </c>
      <c r="F74" s="639" t="s">
        <v>715</v>
      </c>
    </row>
    <row r="75" spans="1:6" x14ac:dyDescent="0.25">
      <c r="A75" s="642">
        <v>4</v>
      </c>
      <c r="B75" s="643" t="s">
        <v>3</v>
      </c>
      <c r="C75" s="644" t="s">
        <v>696</v>
      </c>
      <c r="D75" s="645"/>
      <c r="E75" s="645"/>
      <c r="F75" s="645"/>
    </row>
    <row r="76" spans="1:6" x14ac:dyDescent="0.25">
      <c r="A76" s="642">
        <v>5</v>
      </c>
      <c r="B76" s="643" t="s">
        <v>5</v>
      </c>
      <c r="C76" s="644" t="s">
        <v>697</v>
      </c>
      <c r="D76" s="645"/>
      <c r="E76" s="645"/>
      <c r="F76" s="645"/>
    </row>
    <row r="77" spans="1:6" x14ac:dyDescent="0.25">
      <c r="A77" s="642">
        <v>6</v>
      </c>
      <c r="B77" s="643" t="s">
        <v>15</v>
      </c>
      <c r="C77" s="644" t="s">
        <v>698</v>
      </c>
      <c r="D77" s="645"/>
      <c r="E77" s="645"/>
      <c r="F77" s="645"/>
    </row>
    <row r="78" spans="1:6" x14ac:dyDescent="0.25">
      <c r="A78" s="642">
        <v>7</v>
      </c>
      <c r="B78" s="643" t="s">
        <v>20</v>
      </c>
      <c r="C78" s="644" t="s">
        <v>699</v>
      </c>
      <c r="D78" s="645"/>
      <c r="E78" s="645"/>
      <c r="F78" s="645"/>
    </row>
    <row r="79" spans="1:6" x14ac:dyDescent="0.25">
      <c r="A79" s="642">
        <v>8</v>
      </c>
      <c r="B79" s="643" t="s">
        <v>29</v>
      </c>
      <c r="C79" s="644" t="s">
        <v>700</v>
      </c>
      <c r="D79" s="645">
        <v>97277323</v>
      </c>
      <c r="E79" s="645"/>
      <c r="F79" s="645"/>
    </row>
    <row r="80" spans="1:6" x14ac:dyDescent="0.25">
      <c r="A80" s="642">
        <v>9</v>
      </c>
      <c r="B80" s="643" t="s">
        <v>52</v>
      </c>
      <c r="C80" s="644" t="s">
        <v>701</v>
      </c>
      <c r="D80" s="645">
        <v>0</v>
      </c>
      <c r="E80" s="645"/>
      <c r="F80" s="645"/>
    </row>
    <row r="81" spans="1:6" x14ac:dyDescent="0.25">
      <c r="A81" s="642">
        <v>10</v>
      </c>
      <c r="B81" s="643" t="s">
        <v>54</v>
      </c>
      <c r="C81" s="644" t="s">
        <v>702</v>
      </c>
      <c r="D81" s="645">
        <v>97277323</v>
      </c>
      <c r="E81" s="645"/>
      <c r="F81" s="645"/>
    </row>
    <row r="82" spans="1:6" x14ac:dyDescent="0.25">
      <c r="A82" s="642">
        <v>11</v>
      </c>
      <c r="B82" s="643" t="s">
        <v>56</v>
      </c>
      <c r="C82" s="644" t="s">
        <v>703</v>
      </c>
      <c r="D82" s="645"/>
      <c r="E82" s="645"/>
      <c r="F82" s="645"/>
    </row>
    <row r="83" spans="1:6" x14ac:dyDescent="0.25">
      <c r="A83" s="642">
        <v>12</v>
      </c>
      <c r="B83" s="643" t="s">
        <v>58</v>
      </c>
      <c r="C83" s="644" t="s">
        <v>704</v>
      </c>
      <c r="D83" s="645"/>
      <c r="E83" s="645"/>
      <c r="F83" s="645"/>
    </row>
    <row r="84" spans="1:6" x14ac:dyDescent="0.25">
      <c r="A84" s="642">
        <v>13</v>
      </c>
      <c r="B84" s="643" t="s">
        <v>59</v>
      </c>
      <c r="C84" s="644" t="s">
        <v>705</v>
      </c>
      <c r="D84" s="645"/>
      <c r="E84" s="645"/>
      <c r="F84" s="645"/>
    </row>
    <row r="85" spans="1:6" x14ac:dyDescent="0.25">
      <c r="A85" s="642">
        <v>14</v>
      </c>
      <c r="B85" s="643" t="s">
        <v>67</v>
      </c>
      <c r="C85" s="644" t="s">
        <v>706</v>
      </c>
      <c r="D85" s="645"/>
      <c r="E85" s="645"/>
      <c r="F85" s="645"/>
    </row>
    <row r="86" spans="1:6" x14ac:dyDescent="0.25">
      <c r="A86" s="642">
        <v>15</v>
      </c>
      <c r="B86" s="643" t="s">
        <v>69</v>
      </c>
      <c r="C86" s="644" t="s">
        <v>707</v>
      </c>
      <c r="D86" s="645"/>
      <c r="E86" s="645"/>
      <c r="F86" s="645"/>
    </row>
    <row r="87" spans="1:6" ht="25.5" x14ac:dyDescent="0.25">
      <c r="A87" s="642">
        <v>16</v>
      </c>
      <c r="B87" s="643" t="s">
        <v>71</v>
      </c>
      <c r="C87" s="644" t="s">
        <v>708</v>
      </c>
      <c r="D87" s="645">
        <f>D79-D80-D81+D82</f>
        <v>0</v>
      </c>
      <c r="E87" s="645">
        <f>SUM(E79-E80-E81+E82+E86)</f>
        <v>0</v>
      </c>
      <c r="F87" s="645">
        <f>SUM(F79-F80-F81+F82+F86)</f>
        <v>0</v>
      </c>
    </row>
    <row r="88" spans="1:6" x14ac:dyDescent="0.25">
      <c r="A88" s="642">
        <v>17</v>
      </c>
      <c r="B88" s="643" t="s">
        <v>77</v>
      </c>
      <c r="C88" s="644" t="s">
        <v>709</v>
      </c>
      <c r="D88" s="645"/>
      <c r="E88" s="645"/>
      <c r="F88" s="645"/>
    </row>
    <row r="89" spans="1:6" x14ac:dyDescent="0.25">
      <c r="A89" s="642">
        <v>18</v>
      </c>
      <c r="B89" s="643" t="s">
        <v>79</v>
      </c>
      <c r="C89" s="644" t="s">
        <v>710</v>
      </c>
      <c r="D89" s="645"/>
      <c r="E89" s="645"/>
      <c r="F89" s="645"/>
    </row>
    <row r="90" spans="1:6" x14ac:dyDescent="0.25">
      <c r="A90" s="642">
        <v>19</v>
      </c>
      <c r="B90" s="643" t="s">
        <v>155</v>
      </c>
      <c r="C90" s="644" t="s">
        <v>711</v>
      </c>
      <c r="D90" s="645"/>
      <c r="E90" s="645"/>
      <c r="F90" s="645"/>
    </row>
    <row r="91" spans="1:6" x14ac:dyDescent="0.25">
      <c r="A91" s="642">
        <v>20</v>
      </c>
      <c r="B91" s="643" t="s">
        <v>83</v>
      </c>
      <c r="C91" s="644" t="s">
        <v>712</v>
      </c>
      <c r="D91" s="645"/>
      <c r="E91" s="645"/>
      <c r="F91" s="645"/>
    </row>
    <row r="93" spans="1:6" ht="13.5" thickBot="1" x14ac:dyDescent="0.3"/>
    <row r="94" spans="1:6" x14ac:dyDescent="0.25">
      <c r="A94" s="628"/>
      <c r="B94" s="629" t="s">
        <v>148</v>
      </c>
      <c r="C94" s="629" t="s">
        <v>171</v>
      </c>
      <c r="D94" s="629" t="s">
        <v>149</v>
      </c>
      <c r="E94" s="629"/>
      <c r="F94" s="630"/>
    </row>
    <row r="95" spans="1:6" ht="33.75" customHeight="1" x14ac:dyDescent="0.25">
      <c r="A95" s="632">
        <v>1</v>
      </c>
      <c r="B95" s="896" t="s">
        <v>719</v>
      </c>
      <c r="C95" s="896"/>
      <c r="D95" s="896"/>
      <c r="E95" s="896"/>
      <c r="F95" s="897"/>
    </row>
    <row r="96" spans="1:6" ht="13.5" thickBot="1" x14ac:dyDescent="0.3">
      <c r="A96" s="635">
        <v>2</v>
      </c>
      <c r="B96" s="898" t="s">
        <v>689</v>
      </c>
      <c r="C96" s="898"/>
      <c r="D96" s="898"/>
      <c r="E96" s="898"/>
      <c r="F96" s="899"/>
    </row>
    <row r="97" spans="1:6" ht="38.25" x14ac:dyDescent="0.25">
      <c r="A97" s="637">
        <v>3</v>
      </c>
      <c r="B97" s="638" t="s">
        <v>690</v>
      </c>
      <c r="C97" s="638" t="s">
        <v>620</v>
      </c>
      <c r="D97" s="639" t="s">
        <v>691</v>
      </c>
      <c r="E97" s="639" t="s">
        <v>715</v>
      </c>
      <c r="F97" s="639" t="s">
        <v>715</v>
      </c>
    </row>
    <row r="98" spans="1:6" x14ac:dyDescent="0.25">
      <c r="A98" s="642">
        <v>4</v>
      </c>
      <c r="B98" s="643" t="s">
        <v>3</v>
      </c>
      <c r="C98" s="644" t="s">
        <v>696</v>
      </c>
      <c r="D98" s="645"/>
      <c r="E98" s="645"/>
      <c r="F98" s="645"/>
    </row>
    <row r="99" spans="1:6" x14ac:dyDescent="0.25">
      <c r="A99" s="642">
        <v>5</v>
      </c>
      <c r="B99" s="643" t="s">
        <v>5</v>
      </c>
      <c r="C99" s="644" t="s">
        <v>697</v>
      </c>
      <c r="D99" s="645"/>
      <c r="E99" s="645"/>
      <c r="F99" s="645"/>
    </row>
    <row r="100" spans="1:6" x14ac:dyDescent="0.25">
      <c r="A100" s="642">
        <v>6</v>
      </c>
      <c r="B100" s="643" t="s">
        <v>15</v>
      </c>
      <c r="C100" s="644" t="s">
        <v>698</v>
      </c>
      <c r="D100" s="645">
        <v>8400</v>
      </c>
      <c r="E100" s="645"/>
      <c r="F100" s="645"/>
    </row>
    <row r="101" spans="1:6" x14ac:dyDescent="0.25">
      <c r="A101" s="642">
        <v>7</v>
      </c>
      <c r="B101" s="643" t="s">
        <v>20</v>
      </c>
      <c r="C101" s="644" t="s">
        <v>699</v>
      </c>
      <c r="D101" s="645">
        <f>SUM(D100)</f>
        <v>8400</v>
      </c>
      <c r="E101" s="645"/>
      <c r="F101" s="645"/>
    </row>
    <row r="102" spans="1:6" x14ac:dyDescent="0.25">
      <c r="A102" s="642">
        <v>8</v>
      </c>
      <c r="B102" s="643" t="s">
        <v>29</v>
      </c>
      <c r="C102" s="644" t="s">
        <v>700</v>
      </c>
      <c r="D102" s="645">
        <v>47967666</v>
      </c>
      <c r="E102" s="645"/>
      <c r="F102" s="645"/>
    </row>
    <row r="103" spans="1:6" x14ac:dyDescent="0.25">
      <c r="A103" s="642">
        <v>9</v>
      </c>
      <c r="B103" s="643" t="s">
        <v>52</v>
      </c>
      <c r="C103" s="644" t="s">
        <v>701</v>
      </c>
      <c r="D103" s="645">
        <v>8400</v>
      </c>
      <c r="E103" s="645"/>
      <c r="F103" s="645"/>
    </row>
    <row r="104" spans="1:6" x14ac:dyDescent="0.25">
      <c r="A104" s="642">
        <v>10</v>
      </c>
      <c r="B104" s="643" t="s">
        <v>54</v>
      </c>
      <c r="C104" s="644" t="s">
        <v>702</v>
      </c>
      <c r="D104" s="645">
        <v>37286992</v>
      </c>
      <c r="E104" s="645"/>
      <c r="F104" s="645"/>
    </row>
    <row r="105" spans="1:6" x14ac:dyDescent="0.25">
      <c r="A105" s="642">
        <v>11</v>
      </c>
      <c r="B105" s="643" t="s">
        <v>56</v>
      </c>
      <c r="C105" s="644" t="s">
        <v>703</v>
      </c>
      <c r="D105" s="645"/>
      <c r="E105" s="645"/>
      <c r="F105" s="645"/>
    </row>
    <row r="106" spans="1:6" x14ac:dyDescent="0.25">
      <c r="A106" s="642">
        <v>12</v>
      </c>
      <c r="B106" s="643" t="s">
        <v>58</v>
      </c>
      <c r="C106" s="644" t="s">
        <v>704</v>
      </c>
      <c r="D106" s="645"/>
      <c r="E106" s="645"/>
      <c r="F106" s="645"/>
    </row>
    <row r="107" spans="1:6" x14ac:dyDescent="0.25">
      <c r="A107" s="642">
        <v>13</v>
      </c>
      <c r="B107" s="643" t="s">
        <v>59</v>
      </c>
      <c r="C107" s="644" t="s">
        <v>705</v>
      </c>
      <c r="D107" s="645"/>
      <c r="E107" s="645"/>
      <c r="F107" s="645"/>
    </row>
    <row r="108" spans="1:6" x14ac:dyDescent="0.25">
      <c r="A108" s="642">
        <v>14</v>
      </c>
      <c r="B108" s="643" t="s">
        <v>67</v>
      </c>
      <c r="C108" s="644" t="s">
        <v>706</v>
      </c>
      <c r="D108" s="645"/>
      <c r="E108" s="645"/>
      <c r="F108" s="645"/>
    </row>
    <row r="109" spans="1:6" x14ac:dyDescent="0.25">
      <c r="A109" s="642">
        <v>15</v>
      </c>
      <c r="B109" s="643" t="s">
        <v>69</v>
      </c>
      <c r="C109" s="644" t="s">
        <v>707</v>
      </c>
      <c r="D109" s="645"/>
      <c r="E109" s="645"/>
      <c r="F109" s="645"/>
    </row>
    <row r="110" spans="1:6" ht="25.5" x14ac:dyDescent="0.25">
      <c r="A110" s="642">
        <v>16</v>
      </c>
      <c r="B110" s="643" t="s">
        <v>71</v>
      </c>
      <c r="C110" s="644" t="s">
        <v>708</v>
      </c>
      <c r="D110" s="645">
        <f>D102-D103-D104+D105</f>
        <v>10672274</v>
      </c>
      <c r="E110" s="645">
        <f>SUM(E102-E103-E104+E105+E109)</f>
        <v>0</v>
      </c>
      <c r="F110" s="645">
        <f>SUM(F102-F103-F104+F105+F109)</f>
        <v>0</v>
      </c>
    </row>
    <row r="111" spans="1:6" x14ac:dyDescent="0.25">
      <c r="A111" s="642">
        <v>17</v>
      </c>
      <c r="B111" s="643" t="s">
        <v>77</v>
      </c>
      <c r="C111" s="644" t="s">
        <v>709</v>
      </c>
      <c r="D111" s="645"/>
      <c r="E111" s="645"/>
      <c r="F111" s="645"/>
    </row>
    <row r="112" spans="1:6" x14ac:dyDescent="0.25">
      <c r="A112" s="642">
        <v>18</v>
      </c>
      <c r="B112" s="643" t="s">
        <v>79</v>
      </c>
      <c r="C112" s="644" t="s">
        <v>710</v>
      </c>
      <c r="D112" s="645"/>
      <c r="E112" s="645"/>
      <c r="F112" s="645"/>
    </row>
    <row r="113" spans="1:6" x14ac:dyDescent="0.25">
      <c r="A113" s="642">
        <v>19</v>
      </c>
      <c r="B113" s="643" t="s">
        <v>155</v>
      </c>
      <c r="C113" s="644" t="s">
        <v>711</v>
      </c>
      <c r="D113" s="645">
        <v>10680674</v>
      </c>
      <c r="E113" s="645"/>
      <c r="F113" s="645"/>
    </row>
    <row r="114" spans="1:6" x14ac:dyDescent="0.25">
      <c r="A114" s="642">
        <v>20</v>
      </c>
      <c r="B114" s="643" t="s">
        <v>83</v>
      </c>
      <c r="C114" s="644" t="s">
        <v>712</v>
      </c>
      <c r="D114" s="645">
        <f>D101+D110</f>
        <v>10680674</v>
      </c>
      <c r="E114" s="645"/>
      <c r="F114" s="645"/>
    </row>
  </sheetData>
  <mergeCells count="10">
    <mergeCell ref="B72:F72"/>
    <mergeCell ref="B73:F73"/>
    <mergeCell ref="B95:F95"/>
    <mergeCell ref="B96:F96"/>
    <mergeCell ref="B3:F3"/>
    <mergeCell ref="B4:F4"/>
    <mergeCell ref="B26:F26"/>
    <mergeCell ref="B27:F27"/>
    <mergeCell ref="B49:F49"/>
    <mergeCell ref="B50:F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3"/>
  <sheetViews>
    <sheetView view="pageBreakPreview" zoomScaleNormal="100" zoomScaleSheetLayoutView="100" workbookViewId="0">
      <selection activeCell="A2" sqref="A2:E2"/>
    </sheetView>
  </sheetViews>
  <sheetFormatPr defaultColWidth="21.140625" defaultRowHeight="15.75" x14ac:dyDescent="0.25"/>
  <cols>
    <col min="1" max="1" width="21.140625" style="649"/>
    <col min="2" max="2" width="42.5703125" style="649" customWidth="1"/>
    <col min="3" max="3" width="10.140625" style="649" bestFit="1" customWidth="1"/>
    <col min="4" max="4" width="12.28515625" style="649" bestFit="1" customWidth="1"/>
    <col min="5" max="5" width="15.85546875" style="649" customWidth="1"/>
    <col min="6" max="16384" width="21.140625" style="649"/>
  </cols>
  <sheetData>
    <row r="1" spans="1:5" x14ac:dyDescent="0.25">
      <c r="E1" s="650" t="s">
        <v>1036</v>
      </c>
    </row>
    <row r="2" spans="1:5" s="651" customFormat="1" ht="45.75" customHeight="1" x14ac:dyDescent="0.25">
      <c r="A2" s="900" t="s">
        <v>1035</v>
      </c>
      <c r="B2" s="901"/>
      <c r="C2" s="901"/>
      <c r="D2" s="901"/>
      <c r="E2" s="902"/>
    </row>
    <row r="3" spans="1:5" s="651" customFormat="1" ht="15" customHeight="1" x14ac:dyDescent="0.25">
      <c r="A3" s="652"/>
      <c r="B3" s="653"/>
      <c r="C3" s="903" t="s">
        <v>618</v>
      </c>
      <c r="D3" s="904"/>
      <c r="E3" s="905"/>
    </row>
    <row r="4" spans="1:5" s="651" customFormat="1" ht="39" customHeight="1" x14ac:dyDescent="0.25">
      <c r="A4" s="654" t="s">
        <v>721</v>
      </c>
      <c r="B4" s="654" t="s">
        <v>187</v>
      </c>
      <c r="C4" s="654" t="s">
        <v>820</v>
      </c>
      <c r="D4" s="654" t="s">
        <v>821</v>
      </c>
      <c r="E4" s="654" t="s">
        <v>661</v>
      </c>
    </row>
    <row r="5" spans="1:5" ht="15" customHeight="1" x14ac:dyDescent="0.25">
      <c r="A5" s="655" t="s">
        <v>722</v>
      </c>
      <c r="B5" s="656" t="s">
        <v>723</v>
      </c>
      <c r="C5" s="657"/>
      <c r="D5" s="657"/>
      <c r="E5" s="657"/>
    </row>
    <row r="6" spans="1:5" ht="15" customHeight="1" x14ac:dyDescent="0.25">
      <c r="A6" s="655" t="s">
        <v>724</v>
      </c>
      <c r="B6" s="656" t="s">
        <v>725</v>
      </c>
      <c r="C6" s="657"/>
      <c r="D6" s="657"/>
      <c r="E6" s="657"/>
    </row>
    <row r="7" spans="1:5" ht="15" customHeight="1" x14ac:dyDescent="0.25">
      <c r="A7" s="655" t="s">
        <v>726</v>
      </c>
      <c r="B7" s="656" t="s">
        <v>727</v>
      </c>
      <c r="C7" s="657"/>
      <c r="D7" s="657"/>
      <c r="E7" s="657"/>
    </row>
    <row r="8" spans="1:5" ht="15" customHeight="1" x14ac:dyDescent="0.25">
      <c r="A8" s="655" t="s">
        <v>728</v>
      </c>
      <c r="B8" s="656" t="s">
        <v>729</v>
      </c>
      <c r="C8" s="657"/>
      <c r="D8" s="657"/>
      <c r="E8" s="657"/>
    </row>
    <row r="9" spans="1:5" ht="15" customHeight="1" x14ac:dyDescent="0.25">
      <c r="A9" s="655" t="s">
        <v>730</v>
      </c>
      <c r="B9" s="656" t="s">
        <v>731</v>
      </c>
      <c r="C9" s="657"/>
      <c r="D9" s="657"/>
      <c r="E9" s="657"/>
    </row>
    <row r="10" spans="1:5" ht="15" customHeight="1" x14ac:dyDescent="0.25">
      <c r="A10" s="655" t="s">
        <v>732</v>
      </c>
      <c r="B10" s="656" t="s">
        <v>733</v>
      </c>
      <c r="C10" s="657"/>
      <c r="D10" s="657"/>
      <c r="E10" s="657"/>
    </row>
    <row r="11" spans="1:5" ht="15" customHeight="1" x14ac:dyDescent="0.25">
      <c r="A11" s="655" t="s">
        <v>734</v>
      </c>
      <c r="B11" s="656" t="s">
        <v>735</v>
      </c>
      <c r="C11" s="657"/>
      <c r="D11" s="657"/>
      <c r="E11" s="657"/>
    </row>
    <row r="12" spans="1:5" ht="15" customHeight="1" x14ac:dyDescent="0.25">
      <c r="A12" s="655" t="s">
        <v>736</v>
      </c>
      <c r="B12" s="656" t="s">
        <v>737</v>
      </c>
      <c r="C12" s="657"/>
      <c r="D12" s="657"/>
      <c r="E12" s="657"/>
    </row>
    <row r="13" spans="1:5" ht="15" customHeight="1" x14ac:dyDescent="0.25">
      <c r="A13" s="655" t="s">
        <v>738</v>
      </c>
      <c r="B13" s="656" t="s">
        <v>739</v>
      </c>
      <c r="C13" s="657"/>
      <c r="D13" s="657">
        <v>2003000</v>
      </c>
      <c r="E13" s="657">
        <v>2003000</v>
      </c>
    </row>
    <row r="14" spans="1:5" ht="15" customHeight="1" x14ac:dyDescent="0.25">
      <c r="A14" s="658" t="s">
        <v>740</v>
      </c>
      <c r="B14" s="659" t="s">
        <v>741</v>
      </c>
      <c r="C14" s="660">
        <f>SUM(C5:C13)</f>
        <v>0</v>
      </c>
      <c r="D14" s="660">
        <f t="shared" ref="D14:E14" si="0">SUM(D5:D13)</f>
        <v>2003000</v>
      </c>
      <c r="E14" s="660">
        <f t="shared" si="0"/>
        <v>2003000</v>
      </c>
    </row>
    <row r="15" spans="1:5" ht="15" customHeight="1" x14ac:dyDescent="0.25">
      <c r="A15" s="655" t="s">
        <v>742</v>
      </c>
      <c r="B15" s="656" t="s">
        <v>743</v>
      </c>
      <c r="C15" s="657"/>
      <c r="D15" s="657"/>
      <c r="E15" s="657"/>
    </row>
    <row r="16" spans="1:5" ht="15" customHeight="1" x14ac:dyDescent="0.25">
      <c r="A16" s="655" t="s">
        <v>744</v>
      </c>
      <c r="B16" s="656" t="s">
        <v>745</v>
      </c>
      <c r="C16" s="657"/>
      <c r="D16" s="657"/>
      <c r="E16" s="657"/>
    </row>
    <row r="17" spans="1:5" ht="15" customHeight="1" x14ac:dyDescent="0.25">
      <c r="A17" s="655" t="s">
        <v>746</v>
      </c>
      <c r="B17" s="656" t="s">
        <v>747</v>
      </c>
      <c r="C17" s="657"/>
      <c r="D17" s="657"/>
      <c r="E17" s="657"/>
    </row>
    <row r="18" spans="1:5" ht="15" customHeight="1" x14ac:dyDescent="0.25">
      <c r="A18" s="655" t="s">
        <v>748</v>
      </c>
      <c r="B18" s="656" t="s">
        <v>749</v>
      </c>
      <c r="C18" s="657"/>
      <c r="D18" s="657"/>
      <c r="E18" s="657"/>
    </row>
    <row r="19" spans="1:5" ht="15" customHeight="1" x14ac:dyDescent="0.25">
      <c r="A19" s="655" t="s">
        <v>750</v>
      </c>
      <c r="B19" s="656" t="s">
        <v>751</v>
      </c>
      <c r="C19" s="657"/>
      <c r="D19" s="657"/>
      <c r="E19" s="657"/>
    </row>
    <row r="20" spans="1:5" ht="15" customHeight="1" x14ac:dyDescent="0.25">
      <c r="A20" s="655" t="s">
        <v>752</v>
      </c>
      <c r="B20" s="656" t="s">
        <v>753</v>
      </c>
      <c r="C20" s="657"/>
      <c r="D20" s="657"/>
      <c r="E20" s="657"/>
    </row>
    <row r="21" spans="1:5" ht="15" customHeight="1" x14ac:dyDescent="0.25">
      <c r="A21" s="658" t="s">
        <v>754</v>
      </c>
      <c r="B21" s="659" t="s">
        <v>755</v>
      </c>
      <c r="C21" s="660"/>
      <c r="D21" s="660"/>
      <c r="E21" s="660"/>
    </row>
    <row r="22" spans="1:5" ht="15" customHeight="1" x14ac:dyDescent="0.25">
      <c r="A22" s="655" t="s">
        <v>756</v>
      </c>
      <c r="B22" s="656" t="s">
        <v>757</v>
      </c>
      <c r="C22" s="657"/>
      <c r="D22" s="657"/>
      <c r="E22" s="657"/>
    </row>
    <row r="23" spans="1:5" ht="15" customHeight="1" x14ac:dyDescent="0.25">
      <c r="A23" s="655" t="s">
        <v>758</v>
      </c>
      <c r="B23" s="656" t="s">
        <v>759</v>
      </c>
      <c r="C23" s="657"/>
      <c r="D23" s="657"/>
      <c r="E23" s="657"/>
    </row>
    <row r="24" spans="1:5" ht="15" customHeight="1" x14ac:dyDescent="0.25">
      <c r="A24" s="658" t="s">
        <v>760</v>
      </c>
      <c r="B24" s="659" t="s">
        <v>761</v>
      </c>
      <c r="C24" s="660"/>
      <c r="D24" s="660"/>
      <c r="E24" s="660"/>
    </row>
    <row r="25" spans="1:5" ht="15" customHeight="1" x14ac:dyDescent="0.25">
      <c r="A25" s="655" t="s">
        <v>762</v>
      </c>
      <c r="B25" s="656" t="s">
        <v>763</v>
      </c>
      <c r="C25" s="657"/>
      <c r="D25" s="657"/>
      <c r="E25" s="657"/>
    </row>
    <row r="26" spans="1:5" ht="15" customHeight="1" x14ac:dyDescent="0.25">
      <c r="A26" s="655" t="s">
        <v>764</v>
      </c>
      <c r="B26" s="656" t="s">
        <v>765</v>
      </c>
      <c r="C26" s="657"/>
      <c r="D26" s="657"/>
      <c r="E26" s="657"/>
    </row>
    <row r="27" spans="1:5" ht="15" customHeight="1" x14ac:dyDescent="0.25">
      <c r="A27" s="655" t="s">
        <v>766</v>
      </c>
      <c r="B27" s="656" t="s">
        <v>767</v>
      </c>
      <c r="C27" s="657"/>
      <c r="D27" s="657"/>
      <c r="E27" s="657"/>
    </row>
    <row r="28" spans="1:5" ht="15" customHeight="1" x14ac:dyDescent="0.25">
      <c r="A28" s="655" t="s">
        <v>768</v>
      </c>
      <c r="B28" s="656" t="s">
        <v>769</v>
      </c>
      <c r="C28" s="657"/>
      <c r="D28" s="657"/>
      <c r="E28" s="657"/>
    </row>
    <row r="29" spans="1:5" ht="15" customHeight="1" x14ac:dyDescent="0.25">
      <c r="A29" s="655" t="s">
        <v>770</v>
      </c>
      <c r="B29" s="656" t="s">
        <v>771</v>
      </c>
      <c r="C29" s="657"/>
      <c r="D29" s="657"/>
      <c r="E29" s="657"/>
    </row>
    <row r="30" spans="1:5" ht="15" customHeight="1" x14ac:dyDescent="0.25">
      <c r="A30" s="655" t="s">
        <v>772</v>
      </c>
      <c r="B30" s="656" t="s">
        <v>773</v>
      </c>
      <c r="C30" s="657"/>
      <c r="D30" s="657"/>
      <c r="E30" s="657"/>
    </row>
    <row r="31" spans="1:5" ht="15" customHeight="1" x14ac:dyDescent="0.25">
      <c r="A31" s="655" t="s">
        <v>774</v>
      </c>
      <c r="B31" s="656" t="s">
        <v>775</v>
      </c>
      <c r="C31" s="657"/>
      <c r="D31" s="657"/>
      <c r="E31" s="657"/>
    </row>
    <row r="32" spans="1:5" ht="15" customHeight="1" x14ac:dyDescent="0.25">
      <c r="A32" s="658" t="s">
        <v>776</v>
      </c>
      <c r="B32" s="659" t="s">
        <v>777</v>
      </c>
      <c r="C32" s="660"/>
      <c r="D32" s="660"/>
      <c r="E32" s="660"/>
    </row>
    <row r="33" spans="1:5" ht="15" customHeight="1" x14ac:dyDescent="0.25">
      <c r="A33" s="655" t="s">
        <v>778</v>
      </c>
      <c r="B33" s="656" t="s">
        <v>779</v>
      </c>
      <c r="C33" s="657"/>
      <c r="D33" s="657"/>
      <c r="E33" s="657"/>
    </row>
    <row r="34" spans="1:5" ht="15" customHeight="1" x14ac:dyDescent="0.25">
      <c r="A34" s="655" t="s">
        <v>780</v>
      </c>
      <c r="B34" s="656" t="s">
        <v>781</v>
      </c>
      <c r="C34" s="657">
        <v>100000</v>
      </c>
      <c r="D34" s="657">
        <v>100000</v>
      </c>
      <c r="E34" s="657">
        <v>55000</v>
      </c>
    </row>
    <row r="35" spans="1:5" ht="15" customHeight="1" x14ac:dyDescent="0.25">
      <c r="A35" s="655" t="s">
        <v>782</v>
      </c>
      <c r="B35" s="656" t="s">
        <v>783</v>
      </c>
      <c r="C35" s="657"/>
      <c r="D35" s="657"/>
      <c r="E35" s="657"/>
    </row>
    <row r="36" spans="1:5" ht="15" customHeight="1" x14ac:dyDescent="0.25">
      <c r="A36" s="658" t="s">
        <v>784</v>
      </c>
      <c r="B36" s="659" t="s">
        <v>785</v>
      </c>
      <c r="C36" s="660">
        <f>SUM(C34:C35)</f>
        <v>100000</v>
      </c>
      <c r="D36" s="660">
        <f t="shared" ref="D36:E36" si="1">SUM(D34:D35)</f>
        <v>100000</v>
      </c>
      <c r="E36" s="660">
        <f t="shared" si="1"/>
        <v>55000</v>
      </c>
    </row>
    <row r="37" spans="1:5" ht="15" customHeight="1" x14ac:dyDescent="0.25">
      <c r="A37" s="655" t="s">
        <v>786</v>
      </c>
      <c r="B37" s="656" t="s">
        <v>787</v>
      </c>
      <c r="C37" s="657"/>
      <c r="D37" s="657"/>
      <c r="E37" s="657"/>
    </row>
    <row r="38" spans="1:5" ht="15" customHeight="1" x14ac:dyDescent="0.25">
      <c r="A38" s="655" t="s">
        <v>788</v>
      </c>
      <c r="B38" s="656" t="s">
        <v>789</v>
      </c>
      <c r="C38" s="657"/>
      <c r="D38" s="657"/>
      <c r="E38" s="657"/>
    </row>
    <row r="39" spans="1:5" ht="15" customHeight="1" x14ac:dyDescent="0.25">
      <c r="A39" s="655" t="s">
        <v>790</v>
      </c>
      <c r="B39" s="656" t="s">
        <v>791</v>
      </c>
      <c r="C39" s="657"/>
      <c r="D39" s="657"/>
      <c r="E39" s="657"/>
    </row>
    <row r="40" spans="1:5" ht="15" customHeight="1" x14ac:dyDescent="0.25">
      <c r="A40" s="655" t="s">
        <v>792</v>
      </c>
      <c r="B40" s="656" t="s">
        <v>793</v>
      </c>
      <c r="C40" s="657"/>
      <c r="D40" s="657"/>
      <c r="E40" s="657"/>
    </row>
    <row r="41" spans="1:5" ht="15" customHeight="1" x14ac:dyDescent="0.25">
      <c r="A41" s="655" t="s">
        <v>794</v>
      </c>
      <c r="B41" s="656" t="s">
        <v>795</v>
      </c>
      <c r="C41" s="657"/>
      <c r="D41" s="657"/>
      <c r="E41" s="657"/>
    </row>
    <row r="42" spans="1:5" ht="15" customHeight="1" x14ac:dyDescent="0.25">
      <c r="A42" s="655" t="s">
        <v>796</v>
      </c>
      <c r="B42" s="656" t="s">
        <v>797</v>
      </c>
      <c r="C42" s="657"/>
      <c r="D42" s="657"/>
      <c r="E42" s="657"/>
    </row>
    <row r="43" spans="1:5" ht="15" customHeight="1" x14ac:dyDescent="0.25">
      <c r="A43" s="655" t="s">
        <v>798</v>
      </c>
      <c r="B43" s="656" t="s">
        <v>799</v>
      </c>
      <c r="C43" s="657"/>
      <c r="D43" s="657"/>
      <c r="E43" s="657"/>
    </row>
    <row r="44" spans="1:5" ht="15" customHeight="1" x14ac:dyDescent="0.25">
      <c r="A44" s="655" t="s">
        <v>800</v>
      </c>
      <c r="B44" s="656" t="s">
        <v>801</v>
      </c>
      <c r="C44" s="657"/>
      <c r="D44" s="657"/>
      <c r="E44" s="657"/>
    </row>
    <row r="45" spans="1:5" ht="15" customHeight="1" x14ac:dyDescent="0.25">
      <c r="A45" s="655" t="s">
        <v>802</v>
      </c>
      <c r="B45" s="656" t="s">
        <v>803</v>
      </c>
      <c r="C45" s="657">
        <v>400000</v>
      </c>
      <c r="D45" s="657">
        <v>400000</v>
      </c>
      <c r="E45" s="657">
        <v>234912</v>
      </c>
    </row>
    <row r="46" spans="1:5" ht="15" customHeight="1" x14ac:dyDescent="0.25">
      <c r="A46" s="655" t="s">
        <v>804</v>
      </c>
      <c r="B46" s="656" t="s">
        <v>805</v>
      </c>
      <c r="C46" s="657">
        <f>3750000+1000000</f>
        <v>4750000</v>
      </c>
      <c r="D46" s="657">
        <f>8791830+1000000</f>
        <v>9791830</v>
      </c>
      <c r="E46" s="657">
        <v>7602648</v>
      </c>
    </row>
    <row r="47" spans="1:5" ht="15" customHeight="1" x14ac:dyDescent="0.25">
      <c r="A47" s="655" t="s">
        <v>806</v>
      </c>
      <c r="B47" s="656" t="s">
        <v>807</v>
      </c>
      <c r="C47" s="657"/>
      <c r="D47" s="657"/>
      <c r="E47" s="657"/>
    </row>
    <row r="48" spans="1:5" ht="15" customHeight="1" x14ac:dyDescent="0.25">
      <c r="A48" s="655" t="s">
        <v>808</v>
      </c>
      <c r="B48" s="656" t="s">
        <v>809</v>
      </c>
      <c r="C48" s="657"/>
      <c r="D48" s="657"/>
      <c r="E48" s="657"/>
    </row>
    <row r="49" spans="1:5" ht="15" customHeight="1" x14ac:dyDescent="0.25">
      <c r="A49" s="655" t="s">
        <v>810</v>
      </c>
      <c r="B49" s="656" t="s">
        <v>811</v>
      </c>
      <c r="C49" s="657"/>
      <c r="D49" s="657"/>
      <c r="E49" s="657"/>
    </row>
    <row r="50" spans="1:5" ht="15" customHeight="1" x14ac:dyDescent="0.25">
      <c r="A50" s="655" t="s">
        <v>812</v>
      </c>
      <c r="B50" s="656" t="s">
        <v>813</v>
      </c>
      <c r="C50" s="657"/>
      <c r="D50" s="657"/>
      <c r="E50" s="657"/>
    </row>
    <row r="51" spans="1:5" ht="15" customHeight="1" x14ac:dyDescent="0.25">
      <c r="A51" s="655" t="s">
        <v>814</v>
      </c>
      <c r="B51" s="656" t="s">
        <v>815</v>
      </c>
      <c r="C51" s="657">
        <v>150000</v>
      </c>
      <c r="D51" s="657">
        <v>108890</v>
      </c>
      <c r="E51" s="657">
        <v>92135</v>
      </c>
    </row>
    <row r="52" spans="1:5" ht="15" customHeight="1" x14ac:dyDescent="0.25">
      <c r="A52" s="658" t="s">
        <v>816</v>
      </c>
      <c r="B52" s="659" t="s">
        <v>817</v>
      </c>
      <c r="C52" s="660">
        <f>SUM(C45:C51)</f>
        <v>5300000</v>
      </c>
      <c r="D52" s="660">
        <f>SUM(D45:D51)</f>
        <v>10300720</v>
      </c>
      <c r="E52" s="660">
        <f>SUM(E45:E51)</f>
        <v>7929695</v>
      </c>
    </row>
    <row r="53" spans="1:5" ht="15" customHeight="1" x14ac:dyDescent="0.25">
      <c r="A53" s="658" t="s">
        <v>818</v>
      </c>
      <c r="B53" s="659" t="s">
        <v>819</v>
      </c>
      <c r="C53" s="660">
        <f>C21+C24+C32+C36+C52+C14</f>
        <v>5400000</v>
      </c>
      <c r="D53" s="660">
        <f>D21+D24+D32+D36+D52+D14</f>
        <v>12403720</v>
      </c>
      <c r="E53" s="660">
        <f>E21+E24+E32+E36+E52+E14</f>
        <v>9987695</v>
      </c>
    </row>
  </sheetData>
  <mergeCells count="2">
    <mergeCell ref="A2:E2"/>
    <mergeCell ref="C3:E3"/>
  </mergeCell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workbookViewId="0">
      <selection activeCell="F20" sqref="F20"/>
    </sheetView>
  </sheetViews>
  <sheetFormatPr defaultRowHeight="15" x14ac:dyDescent="0.25"/>
  <cols>
    <col min="3" max="3" width="33.140625" bestFit="1" customWidth="1"/>
    <col min="5" max="5" width="11.28515625" bestFit="1" customWidth="1"/>
    <col min="6" max="6" width="10.140625" bestFit="1" customWidth="1"/>
    <col min="7" max="7" width="11.28515625" bestFit="1" customWidth="1"/>
  </cols>
  <sheetData>
    <row r="1" spans="1:8" s="661" customFormat="1" x14ac:dyDescent="0.25">
      <c r="E1" s="662"/>
      <c r="H1" s="663" t="s">
        <v>839</v>
      </c>
    </row>
    <row r="2" spans="1:8" s="661" customFormat="1" x14ac:dyDescent="0.25">
      <c r="A2" s="664"/>
      <c r="B2" s="665" t="s">
        <v>148</v>
      </c>
      <c r="C2" s="666" t="s">
        <v>171</v>
      </c>
      <c r="D2" s="665" t="s">
        <v>149</v>
      </c>
      <c r="E2" s="667" t="s">
        <v>150</v>
      </c>
      <c r="F2" s="665" t="s">
        <v>151</v>
      </c>
      <c r="G2" s="665" t="s">
        <v>188</v>
      </c>
      <c r="H2" s="665" t="s">
        <v>194</v>
      </c>
    </row>
    <row r="3" spans="1:8" s="669" customFormat="1" ht="55.5" customHeight="1" x14ac:dyDescent="0.25">
      <c r="A3" s="668">
        <v>1</v>
      </c>
      <c r="B3" s="909" t="s">
        <v>837</v>
      </c>
      <c r="C3" s="909"/>
      <c r="D3" s="909"/>
      <c r="E3" s="909"/>
      <c r="F3" s="909"/>
      <c r="G3" s="909"/>
      <c r="H3" s="909"/>
    </row>
    <row r="4" spans="1:8" s="669" customFormat="1" ht="75" x14ac:dyDescent="0.25">
      <c r="A4" s="668">
        <v>2</v>
      </c>
      <c r="B4" s="670"/>
      <c r="C4" s="910" t="s">
        <v>822</v>
      </c>
      <c r="D4" s="910"/>
      <c r="E4" s="671" t="s">
        <v>823</v>
      </c>
      <c r="F4" s="672" t="s">
        <v>838</v>
      </c>
      <c r="G4" s="672" t="s">
        <v>824</v>
      </c>
      <c r="H4" s="672" t="s">
        <v>825</v>
      </c>
    </row>
    <row r="5" spans="1:8" s="669" customFormat="1" ht="28.5" customHeight="1" x14ac:dyDescent="0.25">
      <c r="A5" s="668">
        <v>3</v>
      </c>
      <c r="B5" s="673">
        <v>1</v>
      </c>
      <c r="C5" s="911" t="s">
        <v>826</v>
      </c>
      <c r="D5" s="912"/>
      <c r="E5" s="674">
        <v>6000</v>
      </c>
      <c r="F5" s="675"/>
      <c r="G5" s="674">
        <v>6000</v>
      </c>
      <c r="H5" s="676">
        <v>0</v>
      </c>
    </row>
    <row r="6" spans="1:8" s="669" customFormat="1" ht="28.5" customHeight="1" x14ac:dyDescent="0.25">
      <c r="A6" s="668">
        <v>4</v>
      </c>
      <c r="B6" s="673">
        <v>2</v>
      </c>
      <c r="C6" s="677" t="s">
        <v>827</v>
      </c>
      <c r="D6" s="678"/>
      <c r="E6" s="679">
        <v>4590</v>
      </c>
      <c r="F6" s="675"/>
      <c r="G6" s="679">
        <v>4590</v>
      </c>
      <c r="H6" s="680">
        <v>0</v>
      </c>
    </row>
    <row r="7" spans="1:8" s="669" customFormat="1" ht="28.5" customHeight="1" x14ac:dyDescent="0.25">
      <c r="A7" s="668">
        <v>5</v>
      </c>
      <c r="B7" s="673">
        <v>3</v>
      </c>
      <c r="C7" s="913" t="s">
        <v>828</v>
      </c>
      <c r="D7" s="913"/>
      <c r="E7" s="679">
        <v>250</v>
      </c>
      <c r="F7" s="675"/>
      <c r="G7" s="679">
        <v>250</v>
      </c>
      <c r="H7" s="680">
        <v>0</v>
      </c>
    </row>
    <row r="8" spans="1:8" s="682" customFormat="1" ht="28.5" customHeight="1" x14ac:dyDescent="0.25">
      <c r="A8" s="668">
        <v>6</v>
      </c>
      <c r="B8" s="673">
        <v>4</v>
      </c>
      <c r="C8" s="678" t="s">
        <v>829</v>
      </c>
      <c r="D8" s="681"/>
      <c r="E8" s="914" t="s">
        <v>830</v>
      </c>
      <c r="F8" s="915"/>
      <c r="G8" s="915"/>
      <c r="H8" s="916"/>
    </row>
    <row r="9" spans="1:8" s="682" customFormat="1" ht="28.5" customHeight="1" x14ac:dyDescent="0.25">
      <c r="A9" s="668">
        <v>7</v>
      </c>
      <c r="B9" s="673">
        <v>5</v>
      </c>
      <c r="C9" s="678" t="s">
        <v>831</v>
      </c>
      <c r="D9" s="681"/>
      <c r="E9" s="679">
        <v>100</v>
      </c>
      <c r="F9" s="679"/>
      <c r="G9" s="679">
        <v>100</v>
      </c>
      <c r="H9" s="680">
        <v>0</v>
      </c>
    </row>
    <row r="10" spans="1:8" s="682" customFormat="1" ht="28.5" customHeight="1" x14ac:dyDescent="0.25">
      <c r="A10" s="668">
        <v>8</v>
      </c>
      <c r="B10" s="673">
        <v>6</v>
      </c>
      <c r="C10" s="678" t="s">
        <v>832</v>
      </c>
      <c r="D10" s="681"/>
      <c r="E10" s="679">
        <v>196.04</v>
      </c>
      <c r="F10" s="679"/>
      <c r="G10" s="679">
        <v>196.04</v>
      </c>
      <c r="H10" s="680">
        <v>0</v>
      </c>
    </row>
    <row r="11" spans="1:8" s="682" customFormat="1" ht="28.5" customHeight="1" x14ac:dyDescent="0.25">
      <c r="A11" s="668">
        <v>9</v>
      </c>
      <c r="B11" s="673">
        <v>7</v>
      </c>
      <c r="C11" s="906" t="s">
        <v>833</v>
      </c>
      <c r="D11" s="907"/>
      <c r="E11" s="679">
        <v>75</v>
      </c>
      <c r="F11" s="679"/>
      <c r="G11" s="679">
        <v>75</v>
      </c>
      <c r="H11" s="680">
        <v>0</v>
      </c>
    </row>
    <row r="12" spans="1:8" s="682" customFormat="1" ht="45.75" customHeight="1" x14ac:dyDescent="0.25">
      <c r="A12" s="668">
        <v>10</v>
      </c>
      <c r="B12" s="673">
        <v>8</v>
      </c>
      <c r="C12" s="906" t="s">
        <v>834</v>
      </c>
      <c r="D12" s="907"/>
      <c r="E12" s="679">
        <v>100</v>
      </c>
      <c r="F12" s="679"/>
      <c r="G12" s="679">
        <v>100</v>
      </c>
      <c r="H12" s="680">
        <v>0</v>
      </c>
    </row>
    <row r="13" spans="1:8" s="682" customFormat="1" ht="28.5" customHeight="1" x14ac:dyDescent="0.25">
      <c r="A13" s="668">
        <v>11</v>
      </c>
      <c r="B13" s="673">
        <v>9</v>
      </c>
      <c r="C13" s="908" t="s">
        <v>835</v>
      </c>
      <c r="D13" s="907"/>
      <c r="E13" s="679">
        <v>1510</v>
      </c>
      <c r="F13" s="679">
        <v>2000</v>
      </c>
      <c r="G13" s="679">
        <f>SUM(E13:F13)</f>
        <v>3510</v>
      </c>
      <c r="H13" s="680">
        <v>0</v>
      </c>
    </row>
    <row r="14" spans="1:8" s="682" customFormat="1" ht="28.5" customHeight="1" x14ac:dyDescent="0.25">
      <c r="A14" s="668">
        <v>12</v>
      </c>
      <c r="B14" s="673">
        <v>8</v>
      </c>
      <c r="C14" s="683" t="s">
        <v>836</v>
      </c>
      <c r="D14" s="684"/>
      <c r="E14" s="685">
        <f>SUM(E5:E13)</f>
        <v>12821.04</v>
      </c>
      <c r="F14" s="685">
        <f>SUM(F5:F13)</f>
        <v>2000</v>
      </c>
      <c r="G14" s="685">
        <f>SUM(G5:G13)</f>
        <v>14821.04</v>
      </c>
      <c r="H14" s="686">
        <f>SUM(H5:H13)</f>
        <v>0</v>
      </c>
    </row>
  </sheetData>
  <mergeCells count="8">
    <mergeCell ref="C12:D12"/>
    <mergeCell ref="C13:D13"/>
    <mergeCell ref="B3:H3"/>
    <mergeCell ref="C4:D4"/>
    <mergeCell ref="C5:D5"/>
    <mergeCell ref="C7:D7"/>
    <mergeCell ref="E8:H8"/>
    <mergeCell ref="C11:D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1"/>
  <sheetViews>
    <sheetView view="pageBreakPreview" topLeftCell="A46" zoomScaleNormal="100" zoomScaleSheetLayoutView="100" workbookViewId="0">
      <selection activeCell="E64" sqref="E64"/>
    </sheetView>
  </sheetViews>
  <sheetFormatPr defaultRowHeight="12.75" x14ac:dyDescent="0.2"/>
  <cols>
    <col min="1" max="1" width="9.140625" style="691"/>
    <col min="2" max="2" width="5.5703125" style="687" customWidth="1"/>
    <col min="3" max="3" width="72.140625" style="691" customWidth="1"/>
    <col min="4" max="5" width="13.42578125" style="690" bestFit="1" customWidth="1"/>
    <col min="6" max="6" width="14.7109375" style="690" customWidth="1"/>
    <col min="7" max="257" width="9.140625" style="691"/>
    <col min="258" max="258" width="5.5703125" style="691" customWidth="1"/>
    <col min="259" max="259" width="70.7109375" style="691" customWidth="1"/>
    <col min="260" max="260" width="10.42578125" style="691" customWidth="1"/>
    <col min="261" max="261" width="12.140625" style="691" customWidth="1"/>
    <col min="262" max="262" width="11.42578125" style="691" customWidth="1"/>
    <col min="263" max="513" width="9.140625" style="691"/>
    <col min="514" max="514" width="5.5703125" style="691" customWidth="1"/>
    <col min="515" max="515" width="70.7109375" style="691" customWidth="1"/>
    <col min="516" max="516" width="10.42578125" style="691" customWidth="1"/>
    <col min="517" max="517" width="12.140625" style="691" customWidth="1"/>
    <col min="518" max="518" width="11.42578125" style="691" customWidth="1"/>
    <col min="519" max="769" width="9.140625" style="691"/>
    <col min="770" max="770" width="5.5703125" style="691" customWidth="1"/>
    <col min="771" max="771" width="70.7109375" style="691" customWidth="1"/>
    <col min="772" max="772" width="10.42578125" style="691" customWidth="1"/>
    <col min="773" max="773" width="12.140625" style="691" customWidth="1"/>
    <col min="774" max="774" width="11.42578125" style="691" customWidth="1"/>
    <col min="775" max="1025" width="9.140625" style="691"/>
    <col min="1026" max="1026" width="5.5703125" style="691" customWidth="1"/>
    <col min="1027" max="1027" width="70.7109375" style="691" customWidth="1"/>
    <col min="1028" max="1028" width="10.42578125" style="691" customWidth="1"/>
    <col min="1029" max="1029" width="12.140625" style="691" customWidth="1"/>
    <col min="1030" max="1030" width="11.42578125" style="691" customWidth="1"/>
    <col min="1031" max="1281" width="9.140625" style="691"/>
    <col min="1282" max="1282" width="5.5703125" style="691" customWidth="1"/>
    <col min="1283" max="1283" width="70.7109375" style="691" customWidth="1"/>
    <col min="1284" max="1284" width="10.42578125" style="691" customWidth="1"/>
    <col min="1285" max="1285" width="12.140625" style="691" customWidth="1"/>
    <col min="1286" max="1286" width="11.42578125" style="691" customWidth="1"/>
    <col min="1287" max="1537" width="9.140625" style="691"/>
    <col min="1538" max="1538" width="5.5703125" style="691" customWidth="1"/>
    <col min="1539" max="1539" width="70.7109375" style="691" customWidth="1"/>
    <col min="1540" max="1540" width="10.42578125" style="691" customWidth="1"/>
    <col min="1541" max="1541" width="12.140625" style="691" customWidth="1"/>
    <col min="1542" max="1542" width="11.42578125" style="691" customWidth="1"/>
    <col min="1543" max="1793" width="9.140625" style="691"/>
    <col min="1794" max="1794" width="5.5703125" style="691" customWidth="1"/>
    <col min="1795" max="1795" width="70.7109375" style="691" customWidth="1"/>
    <col min="1796" max="1796" width="10.42578125" style="691" customWidth="1"/>
    <col min="1797" max="1797" width="12.140625" style="691" customWidth="1"/>
    <col min="1798" max="1798" width="11.42578125" style="691" customWidth="1"/>
    <col min="1799" max="2049" width="9.140625" style="691"/>
    <col min="2050" max="2050" width="5.5703125" style="691" customWidth="1"/>
    <col min="2051" max="2051" width="70.7109375" style="691" customWidth="1"/>
    <col min="2052" max="2052" width="10.42578125" style="691" customWidth="1"/>
    <col min="2053" max="2053" width="12.140625" style="691" customWidth="1"/>
    <col min="2054" max="2054" width="11.42578125" style="691" customWidth="1"/>
    <col min="2055" max="2305" width="9.140625" style="691"/>
    <col min="2306" max="2306" width="5.5703125" style="691" customWidth="1"/>
    <col min="2307" max="2307" width="70.7109375" style="691" customWidth="1"/>
    <col min="2308" max="2308" width="10.42578125" style="691" customWidth="1"/>
    <col min="2309" max="2309" width="12.140625" style="691" customWidth="1"/>
    <col min="2310" max="2310" width="11.42578125" style="691" customWidth="1"/>
    <col min="2311" max="2561" width="9.140625" style="691"/>
    <col min="2562" max="2562" width="5.5703125" style="691" customWidth="1"/>
    <col min="2563" max="2563" width="70.7109375" style="691" customWidth="1"/>
    <col min="2564" max="2564" width="10.42578125" style="691" customWidth="1"/>
    <col min="2565" max="2565" width="12.140625" style="691" customWidth="1"/>
    <col min="2566" max="2566" width="11.42578125" style="691" customWidth="1"/>
    <col min="2567" max="2817" width="9.140625" style="691"/>
    <col min="2818" max="2818" width="5.5703125" style="691" customWidth="1"/>
    <col min="2819" max="2819" width="70.7109375" style="691" customWidth="1"/>
    <col min="2820" max="2820" width="10.42578125" style="691" customWidth="1"/>
    <col min="2821" max="2821" width="12.140625" style="691" customWidth="1"/>
    <col min="2822" max="2822" width="11.42578125" style="691" customWidth="1"/>
    <col min="2823" max="3073" width="9.140625" style="691"/>
    <col min="3074" max="3074" width="5.5703125" style="691" customWidth="1"/>
    <col min="3075" max="3075" width="70.7109375" style="691" customWidth="1"/>
    <col min="3076" max="3076" width="10.42578125" style="691" customWidth="1"/>
    <col min="3077" max="3077" width="12.140625" style="691" customWidth="1"/>
    <col min="3078" max="3078" width="11.42578125" style="691" customWidth="1"/>
    <col min="3079" max="3329" width="9.140625" style="691"/>
    <col min="3330" max="3330" width="5.5703125" style="691" customWidth="1"/>
    <col min="3331" max="3331" width="70.7109375" style="691" customWidth="1"/>
    <col min="3332" max="3332" width="10.42578125" style="691" customWidth="1"/>
    <col min="3333" max="3333" width="12.140625" style="691" customWidth="1"/>
    <col min="3334" max="3334" width="11.42578125" style="691" customWidth="1"/>
    <col min="3335" max="3585" width="9.140625" style="691"/>
    <col min="3586" max="3586" width="5.5703125" style="691" customWidth="1"/>
    <col min="3587" max="3587" width="70.7109375" style="691" customWidth="1"/>
    <col min="3588" max="3588" width="10.42578125" style="691" customWidth="1"/>
    <col min="3589" max="3589" width="12.140625" style="691" customWidth="1"/>
    <col min="3590" max="3590" width="11.42578125" style="691" customWidth="1"/>
    <col min="3591" max="3841" width="9.140625" style="691"/>
    <col min="3842" max="3842" width="5.5703125" style="691" customWidth="1"/>
    <col min="3843" max="3843" width="70.7109375" style="691" customWidth="1"/>
    <col min="3844" max="3844" width="10.42578125" style="691" customWidth="1"/>
    <col min="3845" max="3845" width="12.140625" style="691" customWidth="1"/>
    <col min="3846" max="3846" width="11.42578125" style="691" customWidth="1"/>
    <col min="3847" max="4097" width="9.140625" style="691"/>
    <col min="4098" max="4098" width="5.5703125" style="691" customWidth="1"/>
    <col min="4099" max="4099" width="70.7109375" style="691" customWidth="1"/>
    <col min="4100" max="4100" width="10.42578125" style="691" customWidth="1"/>
    <col min="4101" max="4101" width="12.140625" style="691" customWidth="1"/>
    <col min="4102" max="4102" width="11.42578125" style="691" customWidth="1"/>
    <col min="4103" max="4353" width="9.140625" style="691"/>
    <col min="4354" max="4354" width="5.5703125" style="691" customWidth="1"/>
    <col min="4355" max="4355" width="70.7109375" style="691" customWidth="1"/>
    <col min="4356" max="4356" width="10.42578125" style="691" customWidth="1"/>
    <col min="4357" max="4357" width="12.140625" style="691" customWidth="1"/>
    <col min="4358" max="4358" width="11.42578125" style="691" customWidth="1"/>
    <col min="4359" max="4609" width="9.140625" style="691"/>
    <col min="4610" max="4610" width="5.5703125" style="691" customWidth="1"/>
    <col min="4611" max="4611" width="70.7109375" style="691" customWidth="1"/>
    <col min="4612" max="4612" width="10.42578125" style="691" customWidth="1"/>
    <col min="4613" max="4613" width="12.140625" style="691" customWidth="1"/>
    <col min="4614" max="4614" width="11.42578125" style="691" customWidth="1"/>
    <col min="4615" max="4865" width="9.140625" style="691"/>
    <col min="4866" max="4866" width="5.5703125" style="691" customWidth="1"/>
    <col min="4867" max="4867" width="70.7109375" style="691" customWidth="1"/>
    <col min="4868" max="4868" width="10.42578125" style="691" customWidth="1"/>
    <col min="4869" max="4869" width="12.140625" style="691" customWidth="1"/>
    <col min="4870" max="4870" width="11.42578125" style="691" customWidth="1"/>
    <col min="4871" max="5121" width="9.140625" style="691"/>
    <col min="5122" max="5122" width="5.5703125" style="691" customWidth="1"/>
    <col min="5123" max="5123" width="70.7109375" style="691" customWidth="1"/>
    <col min="5124" max="5124" width="10.42578125" style="691" customWidth="1"/>
    <col min="5125" max="5125" width="12.140625" style="691" customWidth="1"/>
    <col min="5126" max="5126" width="11.42578125" style="691" customWidth="1"/>
    <col min="5127" max="5377" width="9.140625" style="691"/>
    <col min="5378" max="5378" width="5.5703125" style="691" customWidth="1"/>
    <col min="5379" max="5379" width="70.7109375" style="691" customWidth="1"/>
    <col min="5380" max="5380" width="10.42578125" style="691" customWidth="1"/>
    <col min="5381" max="5381" width="12.140625" style="691" customWidth="1"/>
    <col min="5382" max="5382" width="11.42578125" style="691" customWidth="1"/>
    <col min="5383" max="5633" width="9.140625" style="691"/>
    <col min="5634" max="5634" width="5.5703125" style="691" customWidth="1"/>
    <col min="5635" max="5635" width="70.7109375" style="691" customWidth="1"/>
    <col min="5636" max="5636" width="10.42578125" style="691" customWidth="1"/>
    <col min="5637" max="5637" width="12.140625" style="691" customWidth="1"/>
    <col min="5638" max="5638" width="11.42578125" style="691" customWidth="1"/>
    <col min="5639" max="5889" width="9.140625" style="691"/>
    <col min="5890" max="5890" width="5.5703125" style="691" customWidth="1"/>
    <col min="5891" max="5891" width="70.7109375" style="691" customWidth="1"/>
    <col min="5892" max="5892" width="10.42578125" style="691" customWidth="1"/>
    <col min="5893" max="5893" width="12.140625" style="691" customWidth="1"/>
    <col min="5894" max="5894" width="11.42578125" style="691" customWidth="1"/>
    <col min="5895" max="6145" width="9.140625" style="691"/>
    <col min="6146" max="6146" width="5.5703125" style="691" customWidth="1"/>
    <col min="6147" max="6147" width="70.7109375" style="691" customWidth="1"/>
    <col min="6148" max="6148" width="10.42578125" style="691" customWidth="1"/>
    <col min="6149" max="6149" width="12.140625" style="691" customWidth="1"/>
    <col min="6150" max="6150" width="11.42578125" style="691" customWidth="1"/>
    <col min="6151" max="6401" width="9.140625" style="691"/>
    <col min="6402" max="6402" width="5.5703125" style="691" customWidth="1"/>
    <col min="6403" max="6403" width="70.7109375" style="691" customWidth="1"/>
    <col min="6404" max="6404" width="10.42578125" style="691" customWidth="1"/>
    <col min="6405" max="6405" width="12.140625" style="691" customWidth="1"/>
    <col min="6406" max="6406" width="11.42578125" style="691" customWidth="1"/>
    <col min="6407" max="6657" width="9.140625" style="691"/>
    <col min="6658" max="6658" width="5.5703125" style="691" customWidth="1"/>
    <col min="6659" max="6659" width="70.7109375" style="691" customWidth="1"/>
    <col min="6660" max="6660" width="10.42578125" style="691" customWidth="1"/>
    <col min="6661" max="6661" width="12.140625" style="691" customWidth="1"/>
    <col min="6662" max="6662" width="11.42578125" style="691" customWidth="1"/>
    <col min="6663" max="6913" width="9.140625" style="691"/>
    <col min="6914" max="6914" width="5.5703125" style="691" customWidth="1"/>
    <col min="6915" max="6915" width="70.7109375" style="691" customWidth="1"/>
    <col min="6916" max="6916" width="10.42578125" style="691" customWidth="1"/>
    <col min="6917" max="6917" width="12.140625" style="691" customWidth="1"/>
    <col min="6918" max="6918" width="11.42578125" style="691" customWidth="1"/>
    <col min="6919" max="7169" width="9.140625" style="691"/>
    <col min="7170" max="7170" width="5.5703125" style="691" customWidth="1"/>
    <col min="7171" max="7171" width="70.7109375" style="691" customWidth="1"/>
    <col min="7172" max="7172" width="10.42578125" style="691" customWidth="1"/>
    <col min="7173" max="7173" width="12.140625" style="691" customWidth="1"/>
    <col min="7174" max="7174" width="11.42578125" style="691" customWidth="1"/>
    <col min="7175" max="7425" width="9.140625" style="691"/>
    <col min="7426" max="7426" width="5.5703125" style="691" customWidth="1"/>
    <col min="7427" max="7427" width="70.7109375" style="691" customWidth="1"/>
    <col min="7428" max="7428" width="10.42578125" style="691" customWidth="1"/>
    <col min="7429" max="7429" width="12.140625" style="691" customWidth="1"/>
    <col min="7430" max="7430" width="11.42578125" style="691" customWidth="1"/>
    <col min="7431" max="7681" width="9.140625" style="691"/>
    <col min="7682" max="7682" width="5.5703125" style="691" customWidth="1"/>
    <col min="7683" max="7683" width="70.7109375" style="691" customWidth="1"/>
    <col min="7684" max="7684" width="10.42578125" style="691" customWidth="1"/>
    <col min="7685" max="7685" width="12.140625" style="691" customWidth="1"/>
    <col min="7686" max="7686" width="11.42578125" style="691" customWidth="1"/>
    <col min="7687" max="7937" width="9.140625" style="691"/>
    <col min="7938" max="7938" width="5.5703125" style="691" customWidth="1"/>
    <col min="7939" max="7939" width="70.7109375" style="691" customWidth="1"/>
    <col min="7940" max="7940" width="10.42578125" style="691" customWidth="1"/>
    <col min="7941" max="7941" width="12.140625" style="691" customWidth="1"/>
    <col min="7942" max="7942" width="11.42578125" style="691" customWidth="1"/>
    <col min="7943" max="8193" width="9.140625" style="691"/>
    <col min="8194" max="8194" width="5.5703125" style="691" customWidth="1"/>
    <col min="8195" max="8195" width="70.7109375" style="691" customWidth="1"/>
    <col min="8196" max="8196" width="10.42578125" style="691" customWidth="1"/>
    <col min="8197" max="8197" width="12.140625" style="691" customWidth="1"/>
    <col min="8198" max="8198" width="11.42578125" style="691" customWidth="1"/>
    <col min="8199" max="8449" width="9.140625" style="691"/>
    <col min="8450" max="8450" width="5.5703125" style="691" customWidth="1"/>
    <col min="8451" max="8451" width="70.7109375" style="691" customWidth="1"/>
    <col min="8452" max="8452" width="10.42578125" style="691" customWidth="1"/>
    <col min="8453" max="8453" width="12.140625" style="691" customWidth="1"/>
    <col min="8454" max="8454" width="11.42578125" style="691" customWidth="1"/>
    <col min="8455" max="8705" width="9.140625" style="691"/>
    <col min="8706" max="8706" width="5.5703125" style="691" customWidth="1"/>
    <col min="8707" max="8707" width="70.7109375" style="691" customWidth="1"/>
    <col min="8708" max="8708" width="10.42578125" style="691" customWidth="1"/>
    <col min="8709" max="8709" width="12.140625" style="691" customWidth="1"/>
    <col min="8710" max="8710" width="11.42578125" style="691" customWidth="1"/>
    <col min="8711" max="8961" width="9.140625" style="691"/>
    <col min="8962" max="8962" width="5.5703125" style="691" customWidth="1"/>
    <col min="8963" max="8963" width="70.7109375" style="691" customWidth="1"/>
    <col min="8964" max="8964" width="10.42578125" style="691" customWidth="1"/>
    <col min="8965" max="8965" width="12.140625" style="691" customWidth="1"/>
    <col min="8966" max="8966" width="11.42578125" style="691" customWidth="1"/>
    <col min="8967" max="9217" width="9.140625" style="691"/>
    <col min="9218" max="9218" width="5.5703125" style="691" customWidth="1"/>
    <col min="9219" max="9219" width="70.7109375" style="691" customWidth="1"/>
    <col min="9220" max="9220" width="10.42578125" style="691" customWidth="1"/>
    <col min="9221" max="9221" width="12.140625" style="691" customWidth="1"/>
    <col min="9222" max="9222" width="11.42578125" style="691" customWidth="1"/>
    <col min="9223" max="9473" width="9.140625" style="691"/>
    <col min="9474" max="9474" width="5.5703125" style="691" customWidth="1"/>
    <col min="9475" max="9475" width="70.7109375" style="691" customWidth="1"/>
    <col min="9476" max="9476" width="10.42578125" style="691" customWidth="1"/>
    <col min="9477" max="9477" width="12.140625" style="691" customWidth="1"/>
    <col min="9478" max="9478" width="11.42578125" style="691" customWidth="1"/>
    <col min="9479" max="9729" width="9.140625" style="691"/>
    <col min="9730" max="9730" width="5.5703125" style="691" customWidth="1"/>
    <col min="9731" max="9731" width="70.7109375" style="691" customWidth="1"/>
    <col min="9732" max="9732" width="10.42578125" style="691" customWidth="1"/>
    <col min="9733" max="9733" width="12.140625" style="691" customWidth="1"/>
    <col min="9734" max="9734" width="11.42578125" style="691" customWidth="1"/>
    <col min="9735" max="9985" width="9.140625" style="691"/>
    <col min="9986" max="9986" width="5.5703125" style="691" customWidth="1"/>
    <col min="9987" max="9987" width="70.7109375" style="691" customWidth="1"/>
    <col min="9988" max="9988" width="10.42578125" style="691" customWidth="1"/>
    <col min="9989" max="9989" width="12.140625" style="691" customWidth="1"/>
    <col min="9990" max="9990" width="11.42578125" style="691" customWidth="1"/>
    <col min="9991" max="10241" width="9.140625" style="691"/>
    <col min="10242" max="10242" width="5.5703125" style="691" customWidth="1"/>
    <col min="10243" max="10243" width="70.7109375" style="691" customWidth="1"/>
    <col min="10244" max="10244" width="10.42578125" style="691" customWidth="1"/>
    <col min="10245" max="10245" width="12.140625" style="691" customWidth="1"/>
    <col min="10246" max="10246" width="11.42578125" style="691" customWidth="1"/>
    <col min="10247" max="10497" width="9.140625" style="691"/>
    <col min="10498" max="10498" width="5.5703125" style="691" customWidth="1"/>
    <col min="10499" max="10499" width="70.7109375" style="691" customWidth="1"/>
    <col min="10500" max="10500" width="10.42578125" style="691" customWidth="1"/>
    <col min="10501" max="10501" width="12.140625" style="691" customWidth="1"/>
    <col min="10502" max="10502" width="11.42578125" style="691" customWidth="1"/>
    <col min="10503" max="10753" width="9.140625" style="691"/>
    <col min="10754" max="10754" width="5.5703125" style="691" customWidth="1"/>
    <col min="10755" max="10755" width="70.7109375" style="691" customWidth="1"/>
    <col min="10756" max="10756" width="10.42578125" style="691" customWidth="1"/>
    <col min="10757" max="10757" width="12.140625" style="691" customWidth="1"/>
    <col min="10758" max="10758" width="11.42578125" style="691" customWidth="1"/>
    <col min="10759" max="11009" width="9.140625" style="691"/>
    <col min="11010" max="11010" width="5.5703125" style="691" customWidth="1"/>
    <col min="11011" max="11011" width="70.7109375" style="691" customWidth="1"/>
    <col min="11012" max="11012" width="10.42578125" style="691" customWidth="1"/>
    <col min="11013" max="11013" width="12.140625" style="691" customWidth="1"/>
    <col min="11014" max="11014" width="11.42578125" style="691" customWidth="1"/>
    <col min="11015" max="11265" width="9.140625" style="691"/>
    <col min="11266" max="11266" width="5.5703125" style="691" customWidth="1"/>
    <col min="11267" max="11267" width="70.7109375" style="691" customWidth="1"/>
    <col min="11268" max="11268" width="10.42578125" style="691" customWidth="1"/>
    <col min="11269" max="11269" width="12.140625" style="691" customWidth="1"/>
    <col min="11270" max="11270" width="11.42578125" style="691" customWidth="1"/>
    <col min="11271" max="11521" width="9.140625" style="691"/>
    <col min="11522" max="11522" width="5.5703125" style="691" customWidth="1"/>
    <col min="11523" max="11523" width="70.7109375" style="691" customWidth="1"/>
    <col min="11524" max="11524" width="10.42578125" style="691" customWidth="1"/>
    <col min="11525" max="11525" width="12.140625" style="691" customWidth="1"/>
    <col min="11526" max="11526" width="11.42578125" style="691" customWidth="1"/>
    <col min="11527" max="11777" width="9.140625" style="691"/>
    <col min="11778" max="11778" width="5.5703125" style="691" customWidth="1"/>
    <col min="11779" max="11779" width="70.7109375" style="691" customWidth="1"/>
    <col min="11780" max="11780" width="10.42578125" style="691" customWidth="1"/>
    <col min="11781" max="11781" width="12.140625" style="691" customWidth="1"/>
    <col min="11782" max="11782" width="11.42578125" style="691" customWidth="1"/>
    <col min="11783" max="12033" width="9.140625" style="691"/>
    <col min="12034" max="12034" width="5.5703125" style="691" customWidth="1"/>
    <col min="12035" max="12035" width="70.7109375" style="691" customWidth="1"/>
    <col min="12036" max="12036" width="10.42578125" style="691" customWidth="1"/>
    <col min="12037" max="12037" width="12.140625" style="691" customWidth="1"/>
    <col min="12038" max="12038" width="11.42578125" style="691" customWidth="1"/>
    <col min="12039" max="12289" width="9.140625" style="691"/>
    <col min="12290" max="12290" width="5.5703125" style="691" customWidth="1"/>
    <col min="12291" max="12291" width="70.7109375" style="691" customWidth="1"/>
    <col min="12292" max="12292" width="10.42578125" style="691" customWidth="1"/>
    <col min="12293" max="12293" width="12.140625" style="691" customWidth="1"/>
    <col min="12294" max="12294" width="11.42578125" style="691" customWidth="1"/>
    <col min="12295" max="12545" width="9.140625" style="691"/>
    <col min="12546" max="12546" width="5.5703125" style="691" customWidth="1"/>
    <col min="12547" max="12547" width="70.7109375" style="691" customWidth="1"/>
    <col min="12548" max="12548" width="10.42578125" style="691" customWidth="1"/>
    <col min="12549" max="12549" width="12.140625" style="691" customWidth="1"/>
    <col min="12550" max="12550" width="11.42578125" style="691" customWidth="1"/>
    <col min="12551" max="12801" width="9.140625" style="691"/>
    <col min="12802" max="12802" width="5.5703125" style="691" customWidth="1"/>
    <col min="12803" max="12803" width="70.7109375" style="691" customWidth="1"/>
    <col min="12804" max="12804" width="10.42578125" style="691" customWidth="1"/>
    <col min="12805" max="12805" width="12.140625" style="691" customWidth="1"/>
    <col min="12806" max="12806" width="11.42578125" style="691" customWidth="1"/>
    <col min="12807" max="13057" width="9.140625" style="691"/>
    <col min="13058" max="13058" width="5.5703125" style="691" customWidth="1"/>
    <col min="13059" max="13059" width="70.7109375" style="691" customWidth="1"/>
    <col min="13060" max="13060" width="10.42578125" style="691" customWidth="1"/>
    <col min="13061" max="13061" width="12.140625" style="691" customWidth="1"/>
    <col min="13062" max="13062" width="11.42578125" style="691" customWidth="1"/>
    <col min="13063" max="13313" width="9.140625" style="691"/>
    <col min="13314" max="13314" width="5.5703125" style="691" customWidth="1"/>
    <col min="13315" max="13315" width="70.7109375" style="691" customWidth="1"/>
    <col min="13316" max="13316" width="10.42578125" style="691" customWidth="1"/>
    <col min="13317" max="13317" width="12.140625" style="691" customWidth="1"/>
    <col min="13318" max="13318" width="11.42578125" style="691" customWidth="1"/>
    <col min="13319" max="13569" width="9.140625" style="691"/>
    <col min="13570" max="13570" width="5.5703125" style="691" customWidth="1"/>
    <col min="13571" max="13571" width="70.7109375" style="691" customWidth="1"/>
    <col min="13572" max="13572" width="10.42578125" style="691" customWidth="1"/>
    <col min="13573" max="13573" width="12.140625" style="691" customWidth="1"/>
    <col min="13574" max="13574" width="11.42578125" style="691" customWidth="1"/>
    <col min="13575" max="13825" width="9.140625" style="691"/>
    <col min="13826" max="13826" width="5.5703125" style="691" customWidth="1"/>
    <col min="13827" max="13827" width="70.7109375" style="691" customWidth="1"/>
    <col min="13828" max="13828" width="10.42578125" style="691" customWidth="1"/>
    <col min="13829" max="13829" width="12.140625" style="691" customWidth="1"/>
    <col min="13830" max="13830" width="11.42578125" style="691" customWidth="1"/>
    <col min="13831" max="14081" width="9.140625" style="691"/>
    <col min="14082" max="14082" width="5.5703125" style="691" customWidth="1"/>
    <col min="14083" max="14083" width="70.7109375" style="691" customWidth="1"/>
    <col min="14084" max="14084" width="10.42578125" style="691" customWidth="1"/>
    <col min="14085" max="14085" width="12.140625" style="691" customWidth="1"/>
    <col min="14086" max="14086" width="11.42578125" style="691" customWidth="1"/>
    <col min="14087" max="14337" width="9.140625" style="691"/>
    <col min="14338" max="14338" width="5.5703125" style="691" customWidth="1"/>
    <col min="14339" max="14339" width="70.7109375" style="691" customWidth="1"/>
    <col min="14340" max="14340" width="10.42578125" style="691" customWidth="1"/>
    <col min="14341" max="14341" width="12.140625" style="691" customWidth="1"/>
    <col min="14342" max="14342" width="11.42578125" style="691" customWidth="1"/>
    <col min="14343" max="14593" width="9.140625" style="691"/>
    <col min="14594" max="14594" width="5.5703125" style="691" customWidth="1"/>
    <col min="14595" max="14595" width="70.7109375" style="691" customWidth="1"/>
    <col min="14596" max="14596" width="10.42578125" style="691" customWidth="1"/>
    <col min="14597" max="14597" width="12.140625" style="691" customWidth="1"/>
    <col min="14598" max="14598" width="11.42578125" style="691" customWidth="1"/>
    <col min="14599" max="14849" width="9.140625" style="691"/>
    <col min="14850" max="14850" width="5.5703125" style="691" customWidth="1"/>
    <col min="14851" max="14851" width="70.7109375" style="691" customWidth="1"/>
    <col min="14852" max="14852" width="10.42578125" style="691" customWidth="1"/>
    <col min="14853" max="14853" width="12.140625" style="691" customWidth="1"/>
    <col min="14854" max="14854" width="11.42578125" style="691" customWidth="1"/>
    <col min="14855" max="15105" width="9.140625" style="691"/>
    <col min="15106" max="15106" width="5.5703125" style="691" customWidth="1"/>
    <col min="15107" max="15107" width="70.7109375" style="691" customWidth="1"/>
    <col min="15108" max="15108" width="10.42578125" style="691" customWidth="1"/>
    <col min="15109" max="15109" width="12.140625" style="691" customWidth="1"/>
    <col min="15110" max="15110" width="11.42578125" style="691" customWidth="1"/>
    <col min="15111" max="15361" width="9.140625" style="691"/>
    <col min="15362" max="15362" width="5.5703125" style="691" customWidth="1"/>
    <col min="15363" max="15363" width="70.7109375" style="691" customWidth="1"/>
    <col min="15364" max="15364" width="10.42578125" style="691" customWidth="1"/>
    <col min="15365" max="15365" width="12.140625" style="691" customWidth="1"/>
    <col min="15366" max="15366" width="11.42578125" style="691" customWidth="1"/>
    <col min="15367" max="15617" width="9.140625" style="691"/>
    <col min="15618" max="15618" width="5.5703125" style="691" customWidth="1"/>
    <col min="15619" max="15619" width="70.7109375" style="691" customWidth="1"/>
    <col min="15620" max="15620" width="10.42578125" style="691" customWidth="1"/>
    <col min="15621" max="15621" width="12.140625" style="691" customWidth="1"/>
    <col min="15622" max="15622" width="11.42578125" style="691" customWidth="1"/>
    <col min="15623" max="15873" width="9.140625" style="691"/>
    <col min="15874" max="15874" width="5.5703125" style="691" customWidth="1"/>
    <col min="15875" max="15875" width="70.7109375" style="691" customWidth="1"/>
    <col min="15876" max="15876" width="10.42578125" style="691" customWidth="1"/>
    <col min="15877" max="15877" width="12.140625" style="691" customWidth="1"/>
    <col min="15878" max="15878" width="11.42578125" style="691" customWidth="1"/>
    <col min="15879" max="16129" width="9.140625" style="691"/>
    <col min="16130" max="16130" width="5.5703125" style="691" customWidth="1"/>
    <col min="16131" max="16131" width="70.7109375" style="691" customWidth="1"/>
    <col min="16132" max="16132" width="10.42578125" style="691" customWidth="1"/>
    <col min="16133" max="16133" width="12.140625" style="691" customWidth="1"/>
    <col min="16134" max="16134" width="11.42578125" style="691" customWidth="1"/>
    <col min="16135" max="16384" width="9.140625" style="691"/>
  </cols>
  <sheetData>
    <row r="1" spans="2:7" x14ac:dyDescent="0.2">
      <c r="C1" s="688"/>
      <c r="D1" s="689"/>
      <c r="F1" s="690" t="s">
        <v>978</v>
      </c>
    </row>
    <row r="2" spans="2:7" x14ac:dyDescent="0.2">
      <c r="B2" s="918" t="s">
        <v>840</v>
      </c>
      <c r="C2" s="918"/>
      <c r="D2" s="918"/>
      <c r="E2" s="918"/>
      <c r="F2" s="918"/>
    </row>
    <row r="3" spans="2:7" ht="15" customHeight="1" x14ac:dyDescent="0.2">
      <c r="B3" s="918" t="s">
        <v>841</v>
      </c>
      <c r="C3" s="918"/>
      <c r="D3" s="918"/>
      <c r="E3" s="918"/>
      <c r="F3" s="918"/>
    </row>
    <row r="4" spans="2:7" ht="15" customHeight="1" x14ac:dyDescent="0.2">
      <c r="B4" s="918" t="s">
        <v>618</v>
      </c>
      <c r="C4" s="918"/>
      <c r="D4" s="918"/>
      <c r="E4" s="918"/>
      <c r="F4" s="918"/>
      <c r="G4" s="692"/>
    </row>
    <row r="5" spans="2:7" x14ac:dyDescent="0.2">
      <c r="B5" s="918" t="s">
        <v>977</v>
      </c>
      <c r="C5" s="918"/>
      <c r="D5" s="918"/>
      <c r="E5" s="918"/>
      <c r="F5" s="918"/>
      <c r="G5" s="693"/>
    </row>
    <row r="7" spans="2:7" ht="25.5" x14ac:dyDescent="0.2">
      <c r="B7" s="694"/>
      <c r="C7" s="695" t="s">
        <v>842</v>
      </c>
      <c r="D7" s="696" t="s">
        <v>843</v>
      </c>
      <c r="E7" s="697" t="s">
        <v>844</v>
      </c>
      <c r="F7" s="696" t="s">
        <v>845</v>
      </c>
    </row>
    <row r="8" spans="2:7" ht="15" customHeight="1" x14ac:dyDescent="0.2">
      <c r="B8" s="698"/>
      <c r="C8" s="699"/>
      <c r="D8" s="919" t="s">
        <v>846</v>
      </c>
      <c r="E8" s="920"/>
      <c r="F8" s="700" t="s">
        <v>847</v>
      </c>
    </row>
    <row r="9" spans="2:7" ht="15" customHeight="1" x14ac:dyDescent="0.2">
      <c r="B9" s="701"/>
      <c r="C9" s="702" t="s">
        <v>848</v>
      </c>
      <c r="D9" s="700"/>
      <c r="E9" s="700"/>
      <c r="F9" s="700"/>
    </row>
    <row r="10" spans="2:7" s="706" customFormat="1" ht="25.5" x14ac:dyDescent="0.2">
      <c r="B10" s="703"/>
      <c r="C10" s="704" t="s">
        <v>849</v>
      </c>
      <c r="D10" s="718">
        <v>55000</v>
      </c>
      <c r="E10" s="718">
        <v>3671</v>
      </c>
      <c r="F10" s="718"/>
    </row>
    <row r="11" spans="2:7" s="706" customFormat="1" ht="25.5" x14ac:dyDescent="0.2">
      <c r="B11" s="703"/>
      <c r="C11" s="704" t="s">
        <v>850</v>
      </c>
      <c r="D11" s="718">
        <v>402308577</v>
      </c>
      <c r="E11" s="718">
        <v>301880672</v>
      </c>
      <c r="F11" s="718"/>
    </row>
    <row r="12" spans="2:7" s="706" customFormat="1" ht="25.5" x14ac:dyDescent="0.2">
      <c r="B12" s="703"/>
      <c r="C12" s="704" t="s">
        <v>851</v>
      </c>
      <c r="D12" s="718">
        <f>266016+3394745</f>
        <v>3660761</v>
      </c>
      <c r="E12" s="718">
        <v>14205</v>
      </c>
      <c r="F12" s="718">
        <v>3646556</v>
      </c>
    </row>
    <row r="13" spans="2:7" s="706" customFormat="1" ht="25.5" x14ac:dyDescent="0.2">
      <c r="B13" s="703"/>
      <c r="C13" s="704" t="s">
        <v>852</v>
      </c>
      <c r="D13" s="718">
        <v>185000</v>
      </c>
      <c r="E13" s="718">
        <v>26477</v>
      </c>
      <c r="F13" s="718"/>
    </row>
    <row r="14" spans="2:7" s="706" customFormat="1" ht="25.5" x14ac:dyDescent="0.2">
      <c r="B14" s="703"/>
      <c r="C14" s="704" t="s">
        <v>853</v>
      </c>
      <c r="D14" s="718">
        <f>12837146+2475959</f>
        <v>15313105</v>
      </c>
      <c r="E14" s="718">
        <v>7905747</v>
      </c>
      <c r="F14" s="718">
        <v>7407358</v>
      </c>
    </row>
    <row r="15" spans="2:7" s="706" customFormat="1" ht="25.5" x14ac:dyDescent="0.2">
      <c r="B15" s="703"/>
      <c r="C15" s="704" t="s">
        <v>854</v>
      </c>
      <c r="D15" s="718">
        <v>10510125</v>
      </c>
      <c r="E15" s="718">
        <v>0</v>
      </c>
      <c r="F15" s="718">
        <v>10510125</v>
      </c>
    </row>
    <row r="16" spans="2:7" s="706" customFormat="1" ht="25.5" x14ac:dyDescent="0.2">
      <c r="B16" s="703"/>
      <c r="C16" s="704" t="s">
        <v>855</v>
      </c>
      <c r="D16" s="718">
        <v>26366</v>
      </c>
      <c r="E16" s="718">
        <v>0</v>
      </c>
      <c r="F16" s="718">
        <v>26366</v>
      </c>
    </row>
    <row r="17" spans="2:6" s="706" customFormat="1" ht="25.5" x14ac:dyDescent="0.2">
      <c r="B17" s="707"/>
      <c r="C17" s="704" t="s">
        <v>856</v>
      </c>
      <c r="D17" s="718">
        <v>490732</v>
      </c>
      <c r="E17" s="718">
        <v>0</v>
      </c>
      <c r="F17" s="718">
        <v>490732</v>
      </c>
    </row>
    <row r="18" spans="2:6" s="688" customFormat="1" ht="15" customHeight="1" x14ac:dyDescent="0.2">
      <c r="B18" s="708"/>
      <c r="C18" s="709" t="s">
        <v>857</v>
      </c>
      <c r="D18" s="791">
        <f>SUM(D10:D17)</f>
        <v>432549666</v>
      </c>
      <c r="E18" s="791">
        <f>SUM(E10:E17)</f>
        <v>309830772</v>
      </c>
      <c r="F18" s="791">
        <f>SUM(F10:F17)</f>
        <v>22081137</v>
      </c>
    </row>
    <row r="19" spans="2:6" x14ac:dyDescent="0.2">
      <c r="B19" s="701"/>
      <c r="C19" s="710" t="s">
        <v>858</v>
      </c>
      <c r="D19" s="711">
        <f>5359212+207360</f>
        <v>5566572</v>
      </c>
      <c r="E19" s="711">
        <f>D19-F19-2209211</f>
        <v>3150001</v>
      </c>
      <c r="F19" s="711">
        <v>207360</v>
      </c>
    </row>
    <row r="20" spans="2:6" x14ac:dyDescent="0.2">
      <c r="B20" s="701"/>
      <c r="C20" s="710" t="s">
        <v>859</v>
      </c>
      <c r="D20" s="720">
        <v>5080000</v>
      </c>
      <c r="E20" s="711">
        <f>D20-4482643</f>
        <v>597357</v>
      </c>
      <c r="F20" s="711"/>
    </row>
    <row r="21" spans="2:6" x14ac:dyDescent="0.2">
      <c r="B21" s="701"/>
      <c r="C21" s="710" t="s">
        <v>860</v>
      </c>
      <c r="D21" s="720">
        <v>38974698</v>
      </c>
      <c r="E21" s="711">
        <v>0</v>
      </c>
      <c r="F21" s="711">
        <v>38974698</v>
      </c>
    </row>
    <row r="22" spans="2:6" x14ac:dyDescent="0.2">
      <c r="B22" s="701"/>
      <c r="C22" s="710" t="s">
        <v>861</v>
      </c>
      <c r="D22" s="711">
        <v>0</v>
      </c>
      <c r="E22" s="711">
        <v>0</v>
      </c>
      <c r="F22" s="711">
        <v>0</v>
      </c>
    </row>
    <row r="23" spans="2:6" x14ac:dyDescent="0.2">
      <c r="B23" s="701"/>
      <c r="C23" s="710" t="s">
        <v>862</v>
      </c>
      <c r="D23" s="711">
        <v>0</v>
      </c>
      <c r="E23" s="711">
        <v>0</v>
      </c>
      <c r="F23" s="711">
        <v>0</v>
      </c>
    </row>
    <row r="24" spans="2:6" s="715" customFormat="1" x14ac:dyDescent="0.2">
      <c r="B24" s="712" t="s">
        <v>863</v>
      </c>
      <c r="C24" s="713" t="s">
        <v>864</v>
      </c>
      <c r="D24" s="791">
        <f>SUM(D19:D23)</f>
        <v>49621270</v>
      </c>
      <c r="E24" s="791">
        <f>SUM(E19:E20)</f>
        <v>3747358</v>
      </c>
      <c r="F24" s="791">
        <f>SUM(F19:F23)</f>
        <v>39182058</v>
      </c>
    </row>
    <row r="25" spans="2:6" x14ac:dyDescent="0.2">
      <c r="B25" s="701"/>
      <c r="C25" s="710" t="s">
        <v>865</v>
      </c>
      <c r="D25" s="711">
        <v>78656833</v>
      </c>
      <c r="E25" s="711">
        <v>78656833</v>
      </c>
      <c r="F25" s="711"/>
    </row>
    <row r="26" spans="2:6" x14ac:dyDescent="0.2">
      <c r="B26" s="701"/>
      <c r="C26" s="710" t="s">
        <v>866</v>
      </c>
      <c r="D26" s="711">
        <v>13376046</v>
      </c>
      <c r="E26" s="711">
        <v>13376046</v>
      </c>
      <c r="F26" s="711"/>
    </row>
    <row r="27" spans="2:6" x14ac:dyDescent="0.2">
      <c r="B27" s="701"/>
      <c r="C27" s="710" t="s">
        <v>867</v>
      </c>
      <c r="D27" s="711">
        <v>3188314</v>
      </c>
      <c r="E27" s="711">
        <v>3188314</v>
      </c>
      <c r="F27" s="711"/>
    </row>
    <row r="28" spans="2:6" s="706" customFormat="1" x14ac:dyDescent="0.2">
      <c r="B28" s="716"/>
      <c r="C28" s="717" t="s">
        <v>868</v>
      </c>
      <c r="D28" s="718">
        <v>13815000</v>
      </c>
      <c r="E28" s="718">
        <v>13815000</v>
      </c>
      <c r="F28" s="705"/>
    </row>
    <row r="29" spans="2:6" x14ac:dyDescent="0.2">
      <c r="B29" s="719"/>
      <c r="C29" s="710" t="s">
        <v>869</v>
      </c>
      <c r="D29" s="711">
        <v>18846500</v>
      </c>
      <c r="E29" s="711">
        <v>18846500</v>
      </c>
      <c r="F29" s="711"/>
    </row>
    <row r="30" spans="2:6" x14ac:dyDescent="0.2">
      <c r="B30" s="719"/>
      <c r="C30" s="710" t="s">
        <v>870</v>
      </c>
      <c r="D30" s="711">
        <v>4750990</v>
      </c>
      <c r="E30" s="711">
        <v>4750990</v>
      </c>
      <c r="F30" s="711"/>
    </row>
    <row r="31" spans="2:6" x14ac:dyDescent="0.2">
      <c r="B31" s="719"/>
      <c r="C31" s="710" t="s">
        <v>871</v>
      </c>
      <c r="D31" s="711">
        <v>41670224</v>
      </c>
      <c r="E31" s="711">
        <f>D31-11016550</f>
        <v>30653674</v>
      </c>
      <c r="F31" s="711"/>
    </row>
    <row r="32" spans="2:6" x14ac:dyDescent="0.2">
      <c r="B32" s="719"/>
      <c r="C32" s="691" t="s">
        <v>872</v>
      </c>
      <c r="D32" s="720">
        <v>367144692</v>
      </c>
      <c r="E32" s="711">
        <f>D32-64188404</f>
        <v>302956288</v>
      </c>
      <c r="F32" s="711"/>
    </row>
    <row r="33" spans="1:6" x14ac:dyDescent="0.2">
      <c r="B33" s="719"/>
      <c r="C33" s="710" t="s">
        <v>873</v>
      </c>
      <c r="D33" s="711">
        <v>3450000</v>
      </c>
      <c r="E33" s="711">
        <f>D33-154949</f>
        <v>3295051</v>
      </c>
      <c r="F33" s="711"/>
    </row>
    <row r="34" spans="1:6" ht="25.5" x14ac:dyDescent="0.2">
      <c r="B34" s="719"/>
      <c r="C34" s="721" t="s">
        <v>874</v>
      </c>
      <c r="D34" s="711">
        <v>969365444</v>
      </c>
      <c r="E34" s="711">
        <f>D34-324469456</f>
        <v>644895988</v>
      </c>
      <c r="F34" s="711"/>
    </row>
    <row r="35" spans="1:6" x14ac:dyDescent="0.2">
      <c r="B35" s="719"/>
      <c r="C35" s="710" t="s">
        <v>875</v>
      </c>
      <c r="D35" s="711">
        <v>1514653425</v>
      </c>
      <c r="E35" s="711">
        <f>D35-163051610</f>
        <v>1351601815</v>
      </c>
      <c r="F35" s="711"/>
    </row>
    <row r="36" spans="1:6" x14ac:dyDescent="0.2">
      <c r="B36" s="719"/>
      <c r="C36" s="710" t="s">
        <v>876</v>
      </c>
      <c r="D36" s="720"/>
      <c r="E36" s="711"/>
      <c r="F36" s="711"/>
    </row>
    <row r="37" spans="1:6" x14ac:dyDescent="0.2">
      <c r="B37" s="719"/>
      <c r="C37" s="710" t="s">
        <v>877</v>
      </c>
      <c r="D37" s="711">
        <v>437000</v>
      </c>
      <c r="E37" s="711">
        <v>437000</v>
      </c>
      <c r="F37" s="711"/>
    </row>
    <row r="38" spans="1:6" x14ac:dyDescent="0.2">
      <c r="B38" s="719"/>
      <c r="C38" s="710" t="s">
        <v>878</v>
      </c>
      <c r="D38" s="711">
        <v>36000</v>
      </c>
      <c r="E38" s="711">
        <v>36000</v>
      </c>
      <c r="F38" s="711"/>
    </row>
    <row r="39" spans="1:6" x14ac:dyDescent="0.2">
      <c r="B39" s="719"/>
      <c r="C39" s="710" t="s">
        <v>879</v>
      </c>
      <c r="D39" s="711">
        <v>312000</v>
      </c>
      <c r="E39" s="711">
        <v>312000</v>
      </c>
      <c r="F39" s="711"/>
    </row>
    <row r="40" spans="1:6" s="706" customFormat="1" x14ac:dyDescent="0.2">
      <c r="B40" s="716"/>
      <c r="C40" s="717" t="s">
        <v>880</v>
      </c>
      <c r="D40" s="718">
        <v>80849259</v>
      </c>
      <c r="E40" s="718">
        <f>D40-  20834784</f>
        <v>60014475</v>
      </c>
      <c r="F40" s="705"/>
    </row>
    <row r="41" spans="1:6" x14ac:dyDescent="0.2">
      <c r="B41" s="719"/>
      <c r="C41" s="717" t="s">
        <v>881</v>
      </c>
      <c r="D41" s="711">
        <v>89287388</v>
      </c>
      <c r="E41" s="711">
        <f>D41-14621553</f>
        <v>74665835</v>
      </c>
      <c r="F41" s="711"/>
    </row>
    <row r="42" spans="1:6" x14ac:dyDescent="0.2">
      <c r="B42" s="719"/>
      <c r="C42" s="717" t="s">
        <v>882</v>
      </c>
      <c r="D42" s="711">
        <v>3889097</v>
      </c>
      <c r="E42" s="711">
        <f>D42-1185605</f>
        <v>2703492</v>
      </c>
      <c r="F42" s="711"/>
    </row>
    <row r="43" spans="1:6" s="688" customFormat="1" x14ac:dyDescent="0.2">
      <c r="B43" s="722" t="s">
        <v>883</v>
      </c>
      <c r="C43" s="723" t="s">
        <v>979</v>
      </c>
      <c r="D43" s="791">
        <f>SUM(D25:D42)</f>
        <v>3203728212</v>
      </c>
      <c r="E43" s="791">
        <f>SUM(E25:E42)</f>
        <v>2604205301</v>
      </c>
      <c r="F43" s="791">
        <f>SUM(F25:F42)</f>
        <v>0</v>
      </c>
    </row>
    <row r="44" spans="1:6" x14ac:dyDescent="0.2">
      <c r="A44" s="691">
        <v>131112</v>
      </c>
      <c r="B44" s="719"/>
      <c r="C44" s="710" t="s">
        <v>884</v>
      </c>
      <c r="D44" s="720">
        <v>115226450</v>
      </c>
      <c r="E44" s="720">
        <f>D44-F44</f>
        <v>2167185</v>
      </c>
      <c r="F44" s="720">
        <v>113059265</v>
      </c>
    </row>
    <row r="45" spans="1:6" x14ac:dyDescent="0.2">
      <c r="A45" s="691">
        <v>131113</v>
      </c>
      <c r="B45" s="719"/>
      <c r="C45" s="710" t="s">
        <v>885</v>
      </c>
      <c r="D45" s="720">
        <v>6844228</v>
      </c>
      <c r="E45" s="720">
        <f>D45-F45-2029081</f>
        <v>-875420</v>
      </c>
      <c r="F45" s="720">
        <v>5690567</v>
      </c>
    </row>
    <row r="46" spans="1:6" x14ac:dyDescent="0.2">
      <c r="A46" s="691">
        <v>131122</v>
      </c>
      <c r="B46" s="719"/>
      <c r="C46" s="710" t="s">
        <v>886</v>
      </c>
      <c r="D46" s="720">
        <v>222448285</v>
      </c>
      <c r="E46" s="720">
        <f>D46-F46-101365137</f>
        <v>115824196</v>
      </c>
      <c r="F46" s="720">
        <v>5258952</v>
      </c>
    </row>
    <row r="47" spans="1:6" x14ac:dyDescent="0.2">
      <c r="A47" s="691">
        <v>131123</v>
      </c>
      <c r="B47" s="719"/>
      <c r="C47" s="710" t="s">
        <v>887</v>
      </c>
      <c r="D47" s="720">
        <v>86699642</v>
      </c>
      <c r="E47" s="720">
        <f>D47-F47-37118981</f>
        <v>16833735</v>
      </c>
      <c r="F47" s="720">
        <v>32746926</v>
      </c>
    </row>
    <row r="48" spans="1:6" ht="25.5" x14ac:dyDescent="0.2">
      <c r="A48" s="691">
        <v>1311511</v>
      </c>
      <c r="B48" s="719"/>
      <c r="C48" s="721" t="s">
        <v>888</v>
      </c>
      <c r="D48" s="720">
        <v>12802670</v>
      </c>
      <c r="E48" s="720">
        <v>12802670</v>
      </c>
      <c r="F48" s="720"/>
    </row>
    <row r="49" spans="1:6" ht="25.5" x14ac:dyDescent="0.2">
      <c r="A49" s="691">
        <v>131152</v>
      </c>
      <c r="B49" s="719"/>
      <c r="C49" s="724" t="s">
        <v>889</v>
      </c>
      <c r="D49" s="720">
        <v>35</v>
      </c>
      <c r="E49" s="720">
        <v>35</v>
      </c>
      <c r="F49" s="720"/>
    </row>
    <row r="50" spans="1:6" s="688" customFormat="1" x14ac:dyDescent="0.2">
      <c r="A50" s="688">
        <v>1311242</v>
      </c>
      <c r="B50" s="722"/>
      <c r="C50" s="724" t="s">
        <v>1037</v>
      </c>
      <c r="D50" s="718">
        <v>341053</v>
      </c>
      <c r="E50" s="714"/>
      <c r="F50" s="718">
        <v>341053</v>
      </c>
    </row>
    <row r="51" spans="1:6" s="726" customFormat="1" ht="25.5" x14ac:dyDescent="0.2">
      <c r="A51" s="726">
        <v>131153</v>
      </c>
      <c r="B51" s="725"/>
      <c r="C51" s="724" t="s">
        <v>890</v>
      </c>
      <c r="D51" s="718">
        <v>350001</v>
      </c>
      <c r="E51" s="718">
        <f>350001-F51</f>
        <v>350000</v>
      </c>
      <c r="F51" s="718">
        <v>1</v>
      </c>
    </row>
    <row r="52" spans="1:6" s="726" customFormat="1" x14ac:dyDescent="0.2">
      <c r="B52" s="725"/>
      <c r="C52" s="724" t="s">
        <v>1038</v>
      </c>
      <c r="D52" s="718">
        <v>300000</v>
      </c>
      <c r="E52" s="718">
        <v>300000</v>
      </c>
      <c r="F52" s="718"/>
    </row>
    <row r="53" spans="1:6" s="706" customFormat="1" x14ac:dyDescent="0.2">
      <c r="B53" s="716"/>
      <c r="C53" s="717" t="s">
        <v>891</v>
      </c>
      <c r="D53" s="718">
        <v>24491859</v>
      </c>
      <c r="E53" s="718">
        <f>D53-15943194</f>
        <v>8548665</v>
      </c>
      <c r="F53" s="718"/>
    </row>
    <row r="54" spans="1:6" s="706" customFormat="1" x14ac:dyDescent="0.2">
      <c r="B54" s="716"/>
      <c r="C54" s="717" t="s">
        <v>892</v>
      </c>
      <c r="D54" s="718">
        <v>16047754</v>
      </c>
      <c r="E54" s="718">
        <f>D54-F54-2230410</f>
        <v>1038344</v>
      </c>
      <c r="F54" s="718">
        <v>12779000</v>
      </c>
    </row>
    <row r="55" spans="1:6" s="706" customFormat="1" x14ac:dyDescent="0.2">
      <c r="B55" s="716"/>
      <c r="C55" s="717" t="s">
        <v>893</v>
      </c>
      <c r="D55" s="718">
        <f>567500+5175412</f>
        <v>5742912</v>
      </c>
      <c r="E55" s="718">
        <f>D55-F55-410477</f>
        <v>157023</v>
      </c>
      <c r="F55" s="718">
        <v>5175412</v>
      </c>
    </row>
    <row r="56" spans="1:6" x14ac:dyDescent="0.2">
      <c r="B56" s="727"/>
      <c r="C56" s="717" t="s">
        <v>894</v>
      </c>
      <c r="D56" s="718">
        <v>279050</v>
      </c>
      <c r="E56" s="718"/>
      <c r="F56" s="718">
        <v>279050</v>
      </c>
    </row>
    <row r="57" spans="1:6" x14ac:dyDescent="0.2">
      <c r="A57" s="691">
        <v>1311143</v>
      </c>
      <c r="B57" s="727"/>
      <c r="C57" s="717" t="s">
        <v>895</v>
      </c>
      <c r="D57" s="718">
        <v>2342686</v>
      </c>
      <c r="E57" s="718"/>
      <c r="F57" s="718">
        <v>2342686</v>
      </c>
    </row>
    <row r="58" spans="1:6" x14ac:dyDescent="0.2">
      <c r="B58" s="727"/>
      <c r="C58" s="717" t="s">
        <v>896</v>
      </c>
      <c r="D58" s="718"/>
      <c r="E58" s="718"/>
      <c r="F58" s="718"/>
    </row>
    <row r="59" spans="1:6" x14ac:dyDescent="0.2">
      <c r="A59" s="691">
        <v>1311243</v>
      </c>
      <c r="B59" s="727"/>
      <c r="C59" s="717" t="s">
        <v>897</v>
      </c>
      <c r="D59" s="718">
        <v>21614522</v>
      </c>
      <c r="E59" s="718"/>
      <c r="F59" s="718">
        <v>21614522</v>
      </c>
    </row>
    <row r="60" spans="1:6" x14ac:dyDescent="0.2">
      <c r="A60" s="691">
        <v>1319822</v>
      </c>
      <c r="B60" s="727"/>
      <c r="C60" s="717" t="s">
        <v>898</v>
      </c>
      <c r="D60" s="718">
        <v>16162</v>
      </c>
      <c r="E60" s="718"/>
      <c r="F60" s="718">
        <v>16162</v>
      </c>
    </row>
    <row r="61" spans="1:6" x14ac:dyDescent="0.2">
      <c r="A61" s="691">
        <v>1319862</v>
      </c>
      <c r="B61" s="727"/>
      <c r="C61" s="717" t="s">
        <v>899</v>
      </c>
      <c r="D61" s="718">
        <v>2185466</v>
      </c>
      <c r="E61" s="718"/>
      <c r="F61" s="718">
        <v>2185466</v>
      </c>
    </row>
    <row r="62" spans="1:6" s="706" customFormat="1" x14ac:dyDescent="0.2">
      <c r="A62" s="691">
        <v>1319863</v>
      </c>
      <c r="B62" s="716"/>
      <c r="C62" s="717" t="s">
        <v>900</v>
      </c>
      <c r="D62" s="718">
        <v>2008000</v>
      </c>
      <c r="E62" s="718"/>
      <c r="F62" s="718">
        <v>2008000</v>
      </c>
    </row>
    <row r="63" spans="1:6" s="688" customFormat="1" x14ac:dyDescent="0.2">
      <c r="B63" s="722" t="s">
        <v>901</v>
      </c>
      <c r="C63" s="723" t="s">
        <v>902</v>
      </c>
      <c r="D63" s="791">
        <f>SUM(D44:D62)</f>
        <v>519740775</v>
      </c>
      <c r="E63" s="791">
        <f>SUM(E44:E62)</f>
        <v>157146433</v>
      </c>
      <c r="F63" s="791">
        <f>SUM(F44:F62)</f>
        <v>203497062</v>
      </c>
    </row>
    <row r="64" spans="1:6" s="688" customFormat="1" x14ac:dyDescent="0.2">
      <c r="B64" s="722" t="s">
        <v>903</v>
      </c>
      <c r="C64" s="723" t="s">
        <v>904</v>
      </c>
      <c r="D64" s="700">
        <v>6609525</v>
      </c>
      <c r="E64" s="700">
        <v>6609525</v>
      </c>
      <c r="F64" s="700"/>
    </row>
    <row r="65" spans="2:6" s="688" customFormat="1" x14ac:dyDescent="0.2">
      <c r="B65" s="722" t="s">
        <v>905</v>
      </c>
      <c r="C65" s="723" t="s">
        <v>906</v>
      </c>
      <c r="D65" s="700">
        <f>D43+D63+D64</f>
        <v>3730078512</v>
      </c>
      <c r="E65" s="700">
        <f>E43+E63+E64</f>
        <v>2767961259</v>
      </c>
      <c r="F65" s="700">
        <f>F43+F63+F64</f>
        <v>203497062</v>
      </c>
    </row>
    <row r="66" spans="2:6" x14ac:dyDescent="0.2">
      <c r="B66" s="719"/>
      <c r="C66" s="710"/>
      <c r="D66" s="711"/>
      <c r="E66" s="728"/>
      <c r="F66" s="705"/>
    </row>
    <row r="67" spans="2:6" x14ac:dyDescent="0.2">
      <c r="B67" s="719"/>
      <c r="C67" s="710"/>
      <c r="D67" s="711"/>
      <c r="E67" s="728"/>
      <c r="F67" s="705"/>
    </row>
    <row r="68" spans="2:6" x14ac:dyDescent="0.2">
      <c r="B68" s="719"/>
      <c r="C68" s="717"/>
      <c r="D68" s="705"/>
      <c r="E68" s="728"/>
      <c r="F68" s="705"/>
    </row>
    <row r="69" spans="2:6" x14ac:dyDescent="0.2">
      <c r="B69" s="719"/>
      <c r="C69" s="717"/>
      <c r="D69" s="705"/>
      <c r="E69" s="728"/>
      <c r="F69" s="705"/>
    </row>
    <row r="70" spans="2:6" x14ac:dyDescent="0.2">
      <c r="B70" s="719"/>
      <c r="C70" s="717"/>
      <c r="D70" s="705"/>
      <c r="E70" s="728"/>
      <c r="F70" s="705"/>
    </row>
    <row r="71" spans="2:6" x14ac:dyDescent="0.2">
      <c r="B71" s="719"/>
      <c r="C71" s="717"/>
      <c r="D71" s="705"/>
      <c r="E71" s="728"/>
      <c r="F71" s="705"/>
    </row>
    <row r="72" spans="2:6" s="688" customFormat="1" x14ac:dyDescent="0.2">
      <c r="B72" s="722"/>
      <c r="C72" s="723"/>
      <c r="D72" s="700"/>
      <c r="E72" s="700"/>
      <c r="F72" s="700"/>
    </row>
    <row r="73" spans="2:6" s="726" customFormat="1" x14ac:dyDescent="0.2">
      <c r="B73" s="712"/>
      <c r="C73" s="713"/>
      <c r="D73" s="714"/>
      <c r="E73" s="714"/>
      <c r="F73" s="714"/>
    </row>
    <row r="74" spans="2:6" s="726" customFormat="1" x14ac:dyDescent="0.2">
      <c r="B74" s="712"/>
      <c r="C74" s="713"/>
      <c r="D74" s="714"/>
      <c r="E74" s="714"/>
      <c r="F74" s="718"/>
    </row>
    <row r="75" spans="2:6" x14ac:dyDescent="0.2">
      <c r="B75" s="722"/>
      <c r="C75" s="723"/>
      <c r="D75" s="700"/>
      <c r="E75" s="700"/>
      <c r="F75" s="700"/>
    </row>
    <row r="76" spans="2:6" x14ac:dyDescent="0.2">
      <c r="B76" s="722"/>
      <c r="C76" s="723"/>
      <c r="D76" s="700"/>
      <c r="E76" s="700"/>
      <c r="F76" s="700"/>
    </row>
    <row r="77" spans="2:6" x14ac:dyDescent="0.2">
      <c r="B77" s="722"/>
      <c r="C77" s="723"/>
      <c r="D77" s="700"/>
      <c r="E77" s="700"/>
      <c r="F77" s="700"/>
    </row>
    <row r="78" spans="2:6" s="732" customFormat="1" x14ac:dyDescent="0.2">
      <c r="B78" s="729"/>
      <c r="C78" s="730"/>
      <c r="D78" s="731"/>
      <c r="E78" s="731"/>
      <c r="F78" s="731"/>
    </row>
    <row r="79" spans="2:6" s="736" customFormat="1" x14ac:dyDescent="0.2">
      <c r="B79" s="733"/>
      <c r="C79" s="734"/>
      <c r="D79" s="735"/>
      <c r="E79" s="735"/>
      <c r="F79" s="735"/>
    </row>
    <row r="80" spans="2:6" s="736" customFormat="1" x14ac:dyDescent="0.2">
      <c r="B80" s="733"/>
      <c r="C80" s="734"/>
      <c r="D80" s="735"/>
      <c r="E80" s="735"/>
      <c r="F80" s="735"/>
    </row>
    <row r="81" spans="2:6" s="736" customFormat="1" ht="27" customHeight="1" x14ac:dyDescent="0.2">
      <c r="B81" s="921" t="s">
        <v>907</v>
      </c>
      <c r="C81" s="922"/>
      <c r="D81" s="922"/>
      <c r="E81" s="922"/>
      <c r="F81" s="922"/>
    </row>
    <row r="82" spans="2:6" s="736" customFormat="1" x14ac:dyDescent="0.2">
      <c r="B82" s="733"/>
      <c r="C82" s="734"/>
      <c r="D82" s="735"/>
      <c r="E82" s="735"/>
      <c r="F82" s="735"/>
    </row>
    <row r="83" spans="2:6" s="739" customFormat="1" x14ac:dyDescent="0.2">
      <c r="B83" s="737"/>
      <c r="C83" s="738" t="s">
        <v>187</v>
      </c>
      <c r="D83" s="718" t="s">
        <v>908</v>
      </c>
      <c r="E83" s="718" t="s">
        <v>909</v>
      </c>
      <c r="F83" s="718" t="s">
        <v>910</v>
      </c>
    </row>
    <row r="84" spans="2:6" s="741" customFormat="1" x14ac:dyDescent="0.2">
      <c r="B84" s="725"/>
      <c r="C84" s="740" t="s">
        <v>911</v>
      </c>
      <c r="D84" s="718">
        <v>6328697</v>
      </c>
      <c r="E84" s="718"/>
      <c r="F84" s="718">
        <v>3747358</v>
      </c>
    </row>
    <row r="85" spans="2:6" s="743" customFormat="1" x14ac:dyDescent="0.2">
      <c r="B85" s="712"/>
      <c r="C85" s="742" t="s">
        <v>912</v>
      </c>
      <c r="D85" s="714">
        <f>D84</f>
        <v>6328697</v>
      </c>
      <c r="E85" s="714"/>
      <c r="F85" s="714">
        <f>F84</f>
        <v>3747358</v>
      </c>
    </row>
    <row r="86" spans="2:6" s="741" customFormat="1" x14ac:dyDescent="0.2">
      <c r="B86" s="725"/>
      <c r="C86" s="744" t="s">
        <v>913</v>
      </c>
      <c r="D86" s="718">
        <v>2608243274</v>
      </c>
      <c r="E86" s="718"/>
      <c r="F86" s="718">
        <v>2604205301</v>
      </c>
    </row>
    <row r="87" spans="2:6" s="741" customFormat="1" x14ac:dyDescent="0.2">
      <c r="B87" s="725"/>
      <c r="C87" s="744" t="s">
        <v>914</v>
      </c>
      <c r="D87" s="718">
        <v>233228318</v>
      </c>
      <c r="E87" s="718"/>
      <c r="F87" s="718">
        <v>157146433</v>
      </c>
    </row>
    <row r="88" spans="2:6" s="741" customFormat="1" x14ac:dyDescent="0.2">
      <c r="B88" s="725"/>
      <c r="C88" s="744" t="s">
        <v>915</v>
      </c>
      <c r="D88" s="718">
        <v>2811525</v>
      </c>
      <c r="E88" s="718"/>
      <c r="F88" s="718">
        <v>6609525</v>
      </c>
    </row>
    <row r="89" spans="2:6" s="743" customFormat="1" x14ac:dyDescent="0.2">
      <c r="B89" s="712"/>
      <c r="C89" s="742" t="s">
        <v>916</v>
      </c>
      <c r="D89" s="714">
        <f>SUM(D86:D88)</f>
        <v>2844283117</v>
      </c>
      <c r="E89" s="714">
        <f>SUM(E86:E88)</f>
        <v>0</v>
      </c>
      <c r="F89" s="714">
        <f>SUM(F86:F88)</f>
        <v>2767961259</v>
      </c>
    </row>
    <row r="90" spans="2:6" s="741" customFormat="1" x14ac:dyDescent="0.2">
      <c r="B90" s="725"/>
      <c r="C90" s="744" t="s">
        <v>917</v>
      </c>
      <c r="D90" s="718">
        <v>12821040</v>
      </c>
      <c r="E90" s="718"/>
      <c r="F90" s="718">
        <v>14821040</v>
      </c>
    </row>
    <row r="91" spans="2:6" s="741" customFormat="1" x14ac:dyDescent="0.2">
      <c r="B91" s="725"/>
      <c r="C91" s="744" t="s">
        <v>918</v>
      </c>
      <c r="D91" s="718">
        <v>7510000</v>
      </c>
      <c r="E91" s="718"/>
      <c r="F91" s="718">
        <v>9510000</v>
      </c>
    </row>
    <row r="92" spans="2:6" s="741" customFormat="1" x14ac:dyDescent="0.2">
      <c r="B92" s="725"/>
      <c r="C92" s="744" t="s">
        <v>919</v>
      </c>
      <c r="D92" s="718">
        <v>5311040</v>
      </c>
      <c r="E92" s="718"/>
      <c r="F92" s="718">
        <v>5311040</v>
      </c>
    </row>
    <row r="93" spans="2:6" s="743" customFormat="1" x14ac:dyDescent="0.2">
      <c r="B93" s="712"/>
      <c r="C93" s="742" t="s">
        <v>920</v>
      </c>
      <c r="D93" s="714">
        <f>SUM(D91:D92)</f>
        <v>12821040</v>
      </c>
      <c r="E93" s="714">
        <f>SUM(E91:E92)</f>
        <v>0</v>
      </c>
      <c r="F93" s="714">
        <f>SUM(F91:F92)</f>
        <v>14821040</v>
      </c>
    </row>
    <row r="94" spans="2:6" s="748" customFormat="1" x14ac:dyDescent="0.2">
      <c r="B94" s="745"/>
      <c r="C94" s="746" t="s">
        <v>921</v>
      </c>
      <c r="D94" s="747">
        <f>D85+D89+D93</f>
        <v>2863432854</v>
      </c>
      <c r="E94" s="747">
        <f>E85+E89+E93</f>
        <v>0</v>
      </c>
      <c r="F94" s="747">
        <f>F85+F89+F93</f>
        <v>2786529657</v>
      </c>
    </row>
    <row r="95" spans="2:6" s="741" customFormat="1" x14ac:dyDescent="0.2">
      <c r="B95" s="725"/>
      <c r="C95" s="744" t="s">
        <v>922</v>
      </c>
      <c r="D95" s="718">
        <v>2092420</v>
      </c>
      <c r="E95" s="718"/>
      <c r="F95" s="718">
        <v>3130274</v>
      </c>
    </row>
    <row r="96" spans="2:6" s="741" customFormat="1" x14ac:dyDescent="0.2">
      <c r="B96" s="749"/>
      <c r="C96" s="750" t="s">
        <v>923</v>
      </c>
      <c r="D96" s="751">
        <v>5868414</v>
      </c>
      <c r="E96" s="751"/>
      <c r="F96" s="751">
        <v>7499010</v>
      </c>
    </row>
    <row r="97" spans="2:6" s="688" customFormat="1" x14ac:dyDescent="0.2">
      <c r="B97" s="752"/>
      <c r="C97" s="753" t="s">
        <v>924</v>
      </c>
      <c r="D97" s="754">
        <f>SUM(D95:D96)</f>
        <v>7960834</v>
      </c>
      <c r="E97" s="754">
        <f>SUM(E95)</f>
        <v>0</v>
      </c>
      <c r="F97" s="754">
        <f>SUM(F95:F96)</f>
        <v>10629284</v>
      </c>
    </row>
    <row r="98" spans="2:6" s="758" customFormat="1" x14ac:dyDescent="0.2">
      <c r="B98" s="755"/>
      <c r="C98" s="756" t="s">
        <v>925</v>
      </c>
      <c r="D98" s="757">
        <f>SUM(D97)</f>
        <v>7960834</v>
      </c>
      <c r="E98" s="757">
        <f>SUM(E97)</f>
        <v>0</v>
      </c>
      <c r="F98" s="757">
        <f>SUM(F97)</f>
        <v>10629284</v>
      </c>
    </row>
    <row r="99" spans="2:6" s="706" customFormat="1" x14ac:dyDescent="0.2">
      <c r="B99" s="716"/>
      <c r="C99" s="724" t="s">
        <v>926</v>
      </c>
      <c r="D99" s="705">
        <v>3701430</v>
      </c>
      <c r="E99" s="705"/>
      <c r="F99" s="705">
        <v>2293944</v>
      </c>
    </row>
    <row r="100" spans="2:6" s="688" customFormat="1" x14ac:dyDescent="0.2">
      <c r="B100" s="722"/>
      <c r="C100" s="759" t="s">
        <v>927</v>
      </c>
      <c r="D100" s="700">
        <f>SUM(D99)</f>
        <v>3701430</v>
      </c>
      <c r="E100" s="700"/>
      <c r="F100" s="700">
        <f>SUM(F99)</f>
        <v>2293944</v>
      </c>
    </row>
    <row r="101" spans="2:6" s="706" customFormat="1" x14ac:dyDescent="0.2">
      <c r="B101" s="716"/>
      <c r="C101" s="724" t="s">
        <v>928</v>
      </c>
      <c r="D101" s="705">
        <v>458079813</v>
      </c>
      <c r="E101" s="705"/>
      <c r="F101" s="705">
        <v>192275996</v>
      </c>
    </row>
    <row r="102" spans="2:6" s="706" customFormat="1" x14ac:dyDescent="0.2">
      <c r="B102" s="716"/>
      <c r="C102" s="724" t="s">
        <v>980</v>
      </c>
      <c r="D102" s="705"/>
      <c r="E102" s="705"/>
      <c r="F102" s="705">
        <v>465379170</v>
      </c>
    </row>
    <row r="103" spans="2:6" s="688" customFormat="1" x14ac:dyDescent="0.2">
      <c r="B103" s="722"/>
      <c r="C103" s="759" t="s">
        <v>929</v>
      </c>
      <c r="D103" s="700">
        <f>SUM(D101)</f>
        <v>458079813</v>
      </c>
      <c r="E103" s="700">
        <f>SUM(E101)</f>
        <v>0</v>
      </c>
      <c r="F103" s="700">
        <f>SUM(F101:F102)</f>
        <v>657655166</v>
      </c>
    </row>
    <row r="104" spans="2:6" s="732" customFormat="1" x14ac:dyDescent="0.2">
      <c r="B104" s="745"/>
      <c r="C104" s="760" t="s">
        <v>930</v>
      </c>
      <c r="D104" s="747">
        <f>D100+D103</f>
        <v>461781243</v>
      </c>
      <c r="E104" s="747">
        <f>E100+E103</f>
        <v>0</v>
      </c>
      <c r="F104" s="747">
        <f>F100+F103</f>
        <v>659949110</v>
      </c>
    </row>
    <row r="105" spans="2:6" s="764" customFormat="1" x14ac:dyDescent="0.2">
      <c r="B105" s="761"/>
      <c r="C105" s="762" t="s">
        <v>931</v>
      </c>
      <c r="D105" s="763">
        <f>SUM(D106:D107)</f>
        <v>6706220</v>
      </c>
      <c r="E105" s="763">
        <f>SUM(E106:E107)</f>
        <v>0</v>
      </c>
      <c r="F105" s="763">
        <f>SUM(F106:F107)</f>
        <v>7019001</v>
      </c>
    </row>
    <row r="106" spans="2:6" s="706" customFormat="1" x14ac:dyDescent="0.2">
      <c r="B106" s="716"/>
      <c r="C106" s="717" t="s">
        <v>932</v>
      </c>
      <c r="D106" s="705">
        <v>5835794</v>
      </c>
      <c r="E106" s="705"/>
      <c r="F106" s="705">
        <v>6276117</v>
      </c>
    </row>
    <row r="107" spans="2:6" s="706" customFormat="1" x14ac:dyDescent="0.2">
      <c r="B107" s="716"/>
      <c r="C107" s="717" t="s">
        <v>933</v>
      </c>
      <c r="D107" s="705">
        <v>870426</v>
      </c>
      <c r="E107" s="705"/>
      <c r="F107" s="705">
        <v>742884</v>
      </c>
    </row>
    <row r="108" spans="2:6" s="764" customFormat="1" x14ac:dyDescent="0.2">
      <c r="B108" s="761"/>
      <c r="C108" s="762" t="s">
        <v>934</v>
      </c>
      <c r="D108" s="763">
        <f>SUM(D109:D113)</f>
        <v>2474640</v>
      </c>
      <c r="E108" s="763">
        <f>SUM(E109:E113)</f>
        <v>0</v>
      </c>
      <c r="F108" s="768">
        <v>3359149</v>
      </c>
    </row>
    <row r="109" spans="2:6" s="706" customFormat="1" ht="27.75" customHeight="1" x14ac:dyDescent="0.2">
      <c r="B109" s="716"/>
      <c r="C109" s="724" t="s">
        <v>935</v>
      </c>
      <c r="D109" s="705">
        <v>1274976</v>
      </c>
      <c r="E109" s="705"/>
      <c r="F109" s="718">
        <v>924171</v>
      </c>
    </row>
    <row r="110" spans="2:6" s="706" customFormat="1" x14ac:dyDescent="0.2">
      <c r="B110" s="716"/>
      <c r="C110" s="717" t="s">
        <v>936</v>
      </c>
      <c r="D110" s="705">
        <v>218648</v>
      </c>
      <c r="E110" s="705"/>
      <c r="F110" s="718">
        <v>740010</v>
      </c>
    </row>
    <row r="111" spans="2:6" s="706" customFormat="1" x14ac:dyDescent="0.2">
      <c r="B111" s="716"/>
      <c r="C111" s="717" t="s">
        <v>937</v>
      </c>
      <c r="D111" s="705">
        <v>587016</v>
      </c>
      <c r="E111" s="705"/>
      <c r="F111" s="718">
        <v>1407650</v>
      </c>
    </row>
    <row r="112" spans="2:6" s="706" customFormat="1" x14ac:dyDescent="0.2">
      <c r="B112" s="716"/>
      <c r="C112" s="717" t="s">
        <v>938</v>
      </c>
      <c r="D112" s="705">
        <v>118000</v>
      </c>
      <c r="E112" s="705"/>
      <c r="F112" s="718">
        <v>105139</v>
      </c>
    </row>
    <row r="113" spans="2:6" s="706" customFormat="1" x14ac:dyDescent="0.2">
      <c r="B113" s="716"/>
      <c r="C113" s="717" t="s">
        <v>939</v>
      </c>
      <c r="D113" s="705">
        <v>276000</v>
      </c>
      <c r="E113" s="705"/>
      <c r="F113" s="718">
        <v>182179</v>
      </c>
    </row>
    <row r="114" spans="2:6" s="688" customFormat="1" x14ac:dyDescent="0.2">
      <c r="B114" s="722"/>
      <c r="C114" s="723" t="s">
        <v>940</v>
      </c>
      <c r="D114" s="700">
        <f>D105+D108</f>
        <v>9180860</v>
      </c>
      <c r="E114" s="700">
        <f>E105+E108</f>
        <v>0</v>
      </c>
      <c r="F114" s="714">
        <f>F105+F108</f>
        <v>10378150</v>
      </c>
    </row>
    <row r="115" spans="2:6" s="764" customFormat="1" x14ac:dyDescent="0.2">
      <c r="B115" s="761"/>
      <c r="C115" s="762" t="s">
        <v>941</v>
      </c>
      <c r="D115" s="763">
        <f>D116</f>
        <v>0</v>
      </c>
      <c r="E115" s="763">
        <f>E116</f>
        <v>0</v>
      </c>
      <c r="F115" s="768">
        <f>F116</f>
        <v>0</v>
      </c>
    </row>
    <row r="116" spans="2:6" s="726" customFormat="1" x14ac:dyDescent="0.2">
      <c r="B116" s="725"/>
      <c r="C116" s="740" t="s">
        <v>942</v>
      </c>
      <c r="D116" s="718">
        <v>0</v>
      </c>
      <c r="E116" s="718"/>
      <c r="F116" s="718">
        <v>0</v>
      </c>
    </row>
    <row r="117" spans="2:6" s="688" customFormat="1" x14ac:dyDescent="0.2">
      <c r="B117" s="722"/>
      <c r="C117" s="723" t="s">
        <v>943</v>
      </c>
      <c r="D117" s="700">
        <f>D115</f>
        <v>0</v>
      </c>
      <c r="E117" s="700">
        <f>E115</f>
        <v>0</v>
      </c>
      <c r="F117" s="714">
        <f>F115</f>
        <v>0</v>
      </c>
    </row>
    <row r="118" spans="2:6" s="764" customFormat="1" x14ac:dyDescent="0.2">
      <c r="B118" s="761"/>
      <c r="C118" s="765" t="s">
        <v>944</v>
      </c>
      <c r="D118" s="763">
        <f>SUM(D121:D121)</f>
        <v>880163</v>
      </c>
      <c r="E118" s="763">
        <f>SUM(E121:E121)</f>
        <v>0</v>
      </c>
      <c r="F118" s="768">
        <v>23549692</v>
      </c>
    </row>
    <row r="119" spans="2:6" s="764" customFormat="1" x14ac:dyDescent="0.2">
      <c r="B119" s="761"/>
      <c r="C119" s="765" t="s">
        <v>981</v>
      </c>
      <c r="D119" s="763"/>
      <c r="E119" s="763"/>
      <c r="F119" s="768">
        <v>21410529</v>
      </c>
    </row>
    <row r="120" spans="2:6" s="764" customFormat="1" x14ac:dyDescent="0.2">
      <c r="B120" s="761"/>
      <c r="C120" s="765" t="s">
        <v>982</v>
      </c>
      <c r="D120" s="763"/>
      <c r="E120" s="763"/>
      <c r="F120" s="768">
        <v>1190000</v>
      </c>
    </row>
    <row r="121" spans="2:6" s="706" customFormat="1" x14ac:dyDescent="0.2">
      <c r="B121" s="716"/>
      <c r="C121" s="717" t="s">
        <v>945</v>
      </c>
      <c r="D121" s="705">
        <v>880163</v>
      </c>
      <c r="E121" s="705"/>
      <c r="F121" s="718">
        <v>949163</v>
      </c>
    </row>
    <row r="122" spans="2:6" s="764" customFormat="1" x14ac:dyDescent="0.2">
      <c r="B122" s="761"/>
      <c r="C122" s="762" t="s">
        <v>946</v>
      </c>
      <c r="D122" s="763">
        <v>800000</v>
      </c>
      <c r="E122" s="763"/>
      <c r="F122" s="768">
        <v>800000</v>
      </c>
    </row>
    <row r="123" spans="2:6" s="688" customFormat="1" x14ac:dyDescent="0.2">
      <c r="B123" s="722"/>
      <c r="C123" s="723" t="s">
        <v>947</v>
      </c>
      <c r="D123" s="700">
        <f>D118+D122</f>
        <v>1680163</v>
      </c>
      <c r="E123" s="700">
        <f>E118+E122</f>
        <v>0</v>
      </c>
      <c r="F123" s="714">
        <f>F118+F122</f>
        <v>24349692</v>
      </c>
    </row>
    <row r="124" spans="2:6" s="758" customFormat="1" x14ac:dyDescent="0.2">
      <c r="B124" s="745"/>
      <c r="C124" s="760" t="s">
        <v>948</v>
      </c>
      <c r="D124" s="747">
        <f>D114+D117+D123</f>
        <v>10861023</v>
      </c>
      <c r="E124" s="747">
        <f>E114+E117+E123</f>
        <v>0</v>
      </c>
      <c r="F124" s="747">
        <f>F114+F117+F123</f>
        <v>34727842</v>
      </c>
    </row>
    <row r="125" spans="2:6" s="726" customFormat="1" x14ac:dyDescent="0.2">
      <c r="B125" s="725"/>
      <c r="C125" s="740" t="s">
        <v>949</v>
      </c>
      <c r="D125" s="718">
        <v>56000</v>
      </c>
      <c r="E125" s="718"/>
      <c r="F125" s="718">
        <v>0</v>
      </c>
    </row>
    <row r="126" spans="2:6" s="769" customFormat="1" ht="25.5" x14ac:dyDescent="0.2">
      <c r="B126" s="766"/>
      <c r="C126" s="744" t="s">
        <v>983</v>
      </c>
      <c r="D126" s="768"/>
      <c r="E126" s="768"/>
      <c r="F126" s="768">
        <v>321300</v>
      </c>
    </row>
    <row r="127" spans="2:6" s="726" customFormat="1" x14ac:dyDescent="0.2">
      <c r="B127" s="725"/>
      <c r="C127" s="744" t="s">
        <v>950</v>
      </c>
      <c r="D127" s="718">
        <v>56000</v>
      </c>
      <c r="E127" s="718"/>
      <c r="F127" s="718">
        <v>321300</v>
      </c>
    </row>
    <row r="128" spans="2:6" s="726" customFormat="1" x14ac:dyDescent="0.2">
      <c r="B128" s="725"/>
      <c r="C128" s="740" t="s">
        <v>951</v>
      </c>
      <c r="D128" s="718">
        <v>-125000</v>
      </c>
      <c r="E128" s="718"/>
      <c r="F128" s="718"/>
    </row>
    <row r="129" spans="2:6" s="769" customFormat="1" x14ac:dyDescent="0.2">
      <c r="B129" s="766"/>
      <c r="C129" s="767" t="s">
        <v>952</v>
      </c>
      <c r="D129" s="768">
        <f>SUM(D128)</f>
        <v>-125000</v>
      </c>
      <c r="E129" s="768"/>
      <c r="F129" s="768"/>
    </row>
    <row r="130" spans="2:6" s="773" customFormat="1" x14ac:dyDescent="0.2">
      <c r="B130" s="770"/>
      <c r="C130" s="771" t="s">
        <v>953</v>
      </c>
      <c r="D130" s="772">
        <f>D126+D129</f>
        <v>-125000</v>
      </c>
      <c r="E130" s="772"/>
      <c r="F130" s="772">
        <f>F126+F129</f>
        <v>321300</v>
      </c>
    </row>
    <row r="131" spans="2:6" s="777" customFormat="1" x14ac:dyDescent="0.2">
      <c r="B131" s="774"/>
      <c r="C131" s="775" t="s">
        <v>954</v>
      </c>
      <c r="D131" s="776">
        <f>D94+D98+D104+D124+D130</f>
        <v>3343910954</v>
      </c>
      <c r="E131" s="776">
        <f>E94+E98+E104+E124</f>
        <v>0</v>
      </c>
      <c r="F131" s="776">
        <f>F94+F98+F104+F124+F130</f>
        <v>3492157193</v>
      </c>
    </row>
    <row r="132" spans="2:6" s="706" customFormat="1" x14ac:dyDescent="0.2">
      <c r="B132" s="716"/>
      <c r="C132" s="717" t="s">
        <v>955</v>
      </c>
      <c r="D132" s="705">
        <v>2483200709</v>
      </c>
      <c r="E132" s="705"/>
      <c r="F132" s="718">
        <v>2483200709</v>
      </c>
    </row>
    <row r="133" spans="2:6" s="706" customFormat="1" x14ac:dyDescent="0.2">
      <c r="B133" s="716"/>
      <c r="C133" s="717" t="s">
        <v>956</v>
      </c>
      <c r="D133" s="705">
        <v>-166053646</v>
      </c>
      <c r="E133" s="705"/>
      <c r="F133" s="718">
        <v>-166053646</v>
      </c>
    </row>
    <row r="134" spans="2:6" s="706" customFormat="1" x14ac:dyDescent="0.2">
      <c r="B134" s="716"/>
      <c r="C134" s="717" t="s">
        <v>957</v>
      </c>
      <c r="D134" s="705">
        <v>49588162</v>
      </c>
      <c r="E134" s="705"/>
      <c r="F134" s="718">
        <v>49588162</v>
      </c>
    </row>
    <row r="135" spans="2:6" s="688" customFormat="1" x14ac:dyDescent="0.2">
      <c r="B135" s="722"/>
      <c r="C135" s="723" t="s">
        <v>958</v>
      </c>
      <c r="D135" s="700">
        <f>D134</f>
        <v>49588162</v>
      </c>
      <c r="E135" s="700">
        <f>E134</f>
        <v>0</v>
      </c>
      <c r="F135" s="714">
        <f>F134</f>
        <v>49588162</v>
      </c>
    </row>
    <row r="136" spans="2:6" s="706" customFormat="1" x14ac:dyDescent="0.2">
      <c r="B136" s="716"/>
      <c r="C136" s="717" t="s">
        <v>959</v>
      </c>
      <c r="D136" s="705">
        <v>-545849027</v>
      </c>
      <c r="E136" s="705"/>
      <c r="F136" s="718">
        <v>-572363321</v>
      </c>
    </row>
    <row r="137" spans="2:6" s="706" customFormat="1" x14ac:dyDescent="0.2">
      <c r="B137" s="716"/>
      <c r="C137" s="717" t="s">
        <v>960</v>
      </c>
      <c r="D137" s="705">
        <v>-26515708</v>
      </c>
      <c r="E137" s="705"/>
      <c r="F137" s="718">
        <v>-17353477</v>
      </c>
    </row>
    <row r="138" spans="2:6" s="758" customFormat="1" x14ac:dyDescent="0.2">
      <c r="B138" s="745"/>
      <c r="C138" s="760" t="s">
        <v>961</v>
      </c>
      <c r="D138" s="747">
        <f>D132+D133+D135+D136+D137</f>
        <v>1794370490</v>
      </c>
      <c r="E138" s="747">
        <f>E132+E133+E135+E136+E137</f>
        <v>0</v>
      </c>
      <c r="F138" s="747">
        <f>F132+F133+F135+F136+F137</f>
        <v>1777018427</v>
      </c>
    </row>
    <row r="139" spans="2:6" s="706" customFormat="1" x14ac:dyDescent="0.2">
      <c r="B139" s="716"/>
      <c r="C139" s="717" t="s">
        <v>962</v>
      </c>
      <c r="D139" s="705">
        <v>972974</v>
      </c>
      <c r="E139" s="705"/>
      <c r="F139" s="718">
        <v>254995</v>
      </c>
    </row>
    <row r="140" spans="2:6" s="706" customFormat="1" x14ac:dyDescent="0.2">
      <c r="B140" s="716"/>
      <c r="C140" s="717" t="s">
        <v>963</v>
      </c>
      <c r="D140" s="705">
        <v>37855</v>
      </c>
      <c r="E140" s="705"/>
      <c r="F140" s="718">
        <v>0</v>
      </c>
    </row>
    <row r="141" spans="2:6" s="706" customFormat="1" x14ac:dyDescent="0.2">
      <c r="B141" s="716"/>
      <c r="C141" s="717" t="s">
        <v>964</v>
      </c>
      <c r="D141" s="705">
        <v>0</v>
      </c>
      <c r="E141" s="705"/>
      <c r="F141" s="718">
        <v>0</v>
      </c>
    </row>
    <row r="142" spans="2:6" s="764" customFormat="1" x14ac:dyDescent="0.2">
      <c r="B142" s="761"/>
      <c r="C142" s="762" t="s">
        <v>984</v>
      </c>
      <c r="D142" s="763">
        <f>SUM(D139:D141)</f>
        <v>1010829</v>
      </c>
      <c r="E142" s="763">
        <f>SUM(E139:E141)</f>
        <v>0</v>
      </c>
      <c r="F142" s="768">
        <f>SUM(F139:F141)</f>
        <v>254995</v>
      </c>
    </row>
    <row r="143" spans="2:6" s="706" customFormat="1" x14ac:dyDescent="0.2">
      <c r="B143" s="716"/>
      <c r="C143" s="717" t="s">
        <v>965</v>
      </c>
      <c r="D143" s="705">
        <v>0</v>
      </c>
      <c r="E143" s="705"/>
      <c r="F143" s="718">
        <v>0</v>
      </c>
    </row>
    <row r="144" spans="2:6" s="706" customFormat="1" x14ac:dyDescent="0.2">
      <c r="B144" s="716"/>
      <c r="C144" s="717" t="s">
        <v>966</v>
      </c>
      <c r="D144" s="705">
        <f>D146</f>
        <v>10927733</v>
      </c>
      <c r="E144" s="705">
        <f>E146</f>
        <v>0</v>
      </c>
      <c r="F144" s="718">
        <v>47274767</v>
      </c>
    </row>
    <row r="145" spans="2:6" s="706" customFormat="1" ht="25.5" x14ac:dyDescent="0.2">
      <c r="B145" s="716"/>
      <c r="C145" s="724" t="s">
        <v>985</v>
      </c>
      <c r="D145" s="705"/>
      <c r="E145" s="705"/>
      <c r="F145" s="718">
        <v>37243444</v>
      </c>
    </row>
    <row r="146" spans="2:6" s="706" customFormat="1" ht="24" customHeight="1" x14ac:dyDescent="0.2">
      <c r="B146" s="716"/>
      <c r="C146" s="724" t="s">
        <v>967</v>
      </c>
      <c r="D146" s="705">
        <v>10927733</v>
      </c>
      <c r="E146" s="705"/>
      <c r="F146" s="718">
        <v>10031323</v>
      </c>
    </row>
    <row r="147" spans="2:6" s="764" customFormat="1" x14ac:dyDescent="0.2">
      <c r="B147" s="761" t="s">
        <v>268</v>
      </c>
      <c r="C147" s="762" t="s">
        <v>968</v>
      </c>
      <c r="D147" s="763">
        <f>D144+D143</f>
        <v>10927733</v>
      </c>
      <c r="E147" s="763">
        <f>E144+E143</f>
        <v>0</v>
      </c>
      <c r="F147" s="768">
        <f>F144+F143</f>
        <v>47274767</v>
      </c>
    </row>
    <row r="148" spans="2:6" s="706" customFormat="1" x14ac:dyDescent="0.2">
      <c r="B148" s="716"/>
      <c r="C148" s="717" t="s">
        <v>969</v>
      </c>
      <c r="D148" s="705">
        <v>6937815</v>
      </c>
      <c r="E148" s="705"/>
      <c r="F148" s="718">
        <v>11017746</v>
      </c>
    </row>
    <row r="149" spans="2:6" s="706" customFormat="1" x14ac:dyDescent="0.2">
      <c r="B149" s="716"/>
      <c r="C149" s="717" t="s">
        <v>970</v>
      </c>
      <c r="D149" s="705">
        <v>2339394</v>
      </c>
      <c r="E149" s="705"/>
      <c r="F149" s="718">
        <v>2239686</v>
      </c>
    </row>
    <row r="150" spans="2:6" s="706" customFormat="1" x14ac:dyDescent="0.2">
      <c r="B150" s="716"/>
      <c r="C150" s="717" t="s">
        <v>971</v>
      </c>
      <c r="D150" s="705">
        <v>4495102</v>
      </c>
      <c r="E150" s="705"/>
      <c r="F150" s="718">
        <v>3389616</v>
      </c>
    </row>
    <row r="151" spans="2:6" s="769" customFormat="1" x14ac:dyDescent="0.2">
      <c r="B151" s="766"/>
      <c r="C151" s="767" t="s">
        <v>972</v>
      </c>
      <c r="D151" s="768">
        <f>SUM(D148:D150)</f>
        <v>13772311</v>
      </c>
      <c r="E151" s="768">
        <f>SUM(E148:E150)</f>
        <v>0</v>
      </c>
      <c r="F151" s="768">
        <f>SUM(F148:F150)</f>
        <v>16647048</v>
      </c>
    </row>
    <row r="152" spans="2:6" s="758" customFormat="1" x14ac:dyDescent="0.2">
      <c r="B152" s="745"/>
      <c r="C152" s="760" t="s">
        <v>973</v>
      </c>
      <c r="D152" s="747">
        <f>D142+D147+D151</f>
        <v>25710873</v>
      </c>
      <c r="E152" s="747">
        <f>E142+E147+E151</f>
        <v>0</v>
      </c>
      <c r="F152" s="747">
        <f>F142+F147+F151</f>
        <v>64176810</v>
      </c>
    </row>
    <row r="153" spans="2:6" s="706" customFormat="1" x14ac:dyDescent="0.2">
      <c r="B153" s="716"/>
      <c r="C153" s="717" t="s">
        <v>974</v>
      </c>
      <c r="D153" s="705">
        <v>30847655</v>
      </c>
      <c r="E153" s="705"/>
      <c r="F153" s="718">
        <v>31441707</v>
      </c>
    </row>
    <row r="154" spans="2:6" s="706" customFormat="1" x14ac:dyDescent="0.2">
      <c r="B154" s="716"/>
      <c r="C154" s="717" t="s">
        <v>975</v>
      </c>
      <c r="D154" s="705">
        <v>1493037936</v>
      </c>
      <c r="E154" s="705"/>
      <c r="F154" s="718">
        <v>1619520249</v>
      </c>
    </row>
    <row r="155" spans="2:6" s="758" customFormat="1" x14ac:dyDescent="0.2">
      <c r="B155" s="745"/>
      <c r="C155" s="760" t="s">
        <v>976</v>
      </c>
      <c r="D155" s="747">
        <f>D153+D154</f>
        <v>1523885591</v>
      </c>
      <c r="E155" s="747">
        <f>E153+E154</f>
        <v>0</v>
      </c>
      <c r="F155" s="747">
        <f>F153+F154</f>
        <v>1650961956</v>
      </c>
    </row>
    <row r="156" spans="2:6" s="777" customFormat="1" ht="13.5" thickBot="1" x14ac:dyDescent="0.25">
      <c r="B156" s="778"/>
      <c r="C156" s="779" t="s">
        <v>642</v>
      </c>
      <c r="D156" s="780">
        <f>D138+D152+D155</f>
        <v>3343966954</v>
      </c>
      <c r="E156" s="780">
        <f>E138+E152+E155</f>
        <v>0</v>
      </c>
      <c r="F156" s="780">
        <f>F138+F152+F155</f>
        <v>3492157193</v>
      </c>
    </row>
    <row r="157" spans="2:6" x14ac:dyDescent="0.2">
      <c r="B157" s="786"/>
      <c r="C157" s="784"/>
      <c r="D157" s="785"/>
      <c r="E157" s="785"/>
      <c r="F157" s="785"/>
    </row>
    <row r="158" spans="2:6" x14ac:dyDescent="0.2">
      <c r="B158" s="786"/>
      <c r="C158" s="784"/>
      <c r="D158" s="785"/>
      <c r="E158" s="785"/>
      <c r="F158" s="785"/>
    </row>
    <row r="159" spans="2:6" x14ac:dyDescent="0.2">
      <c r="B159" s="786"/>
      <c r="C159" s="784"/>
      <c r="D159" s="785"/>
      <c r="E159" s="785"/>
      <c r="F159" s="785"/>
    </row>
    <row r="162" spans="2:6" s="784" customFormat="1" x14ac:dyDescent="0.2">
      <c r="B162" s="917"/>
      <c r="C162" s="917"/>
      <c r="D162" s="917"/>
      <c r="E162" s="917"/>
      <c r="F162" s="917"/>
    </row>
    <row r="163" spans="2:6" s="784" customFormat="1" ht="15" customHeight="1" x14ac:dyDescent="0.2">
      <c r="B163" s="917"/>
      <c r="C163" s="917"/>
      <c r="D163" s="917"/>
      <c r="E163" s="917"/>
      <c r="F163" s="917"/>
    </row>
    <row r="164" spans="2:6" s="784" customFormat="1" ht="15" customHeight="1" x14ac:dyDescent="0.2">
      <c r="B164" s="917"/>
      <c r="C164" s="917"/>
      <c r="D164" s="917"/>
      <c r="E164" s="917"/>
      <c r="F164" s="917"/>
    </row>
    <row r="165" spans="2:6" s="784" customFormat="1" x14ac:dyDescent="0.2">
      <c r="B165" s="917"/>
      <c r="C165" s="917"/>
      <c r="D165" s="917"/>
      <c r="E165" s="917"/>
      <c r="F165" s="917"/>
    </row>
    <row r="166" spans="2:6" s="784" customFormat="1" x14ac:dyDescent="0.2">
      <c r="B166" s="786"/>
      <c r="D166" s="785"/>
      <c r="E166" s="785"/>
      <c r="F166" s="785"/>
    </row>
    <row r="167" spans="2:6" s="787" customFormat="1" x14ac:dyDescent="0.25">
      <c r="B167" s="790"/>
      <c r="D167" s="789"/>
      <c r="E167" s="788"/>
      <c r="F167" s="788"/>
    </row>
    <row r="168" spans="2:6" s="784" customFormat="1" x14ac:dyDescent="0.2">
      <c r="B168" s="786"/>
      <c r="D168" s="785"/>
      <c r="E168" s="785"/>
      <c r="F168" s="785"/>
    </row>
    <row r="169" spans="2:6" s="784" customFormat="1" x14ac:dyDescent="0.2">
      <c r="B169" s="786"/>
      <c r="D169" s="785"/>
      <c r="E169" s="785"/>
      <c r="F169" s="785"/>
    </row>
    <row r="170" spans="2:6" s="784" customFormat="1" x14ac:dyDescent="0.2">
      <c r="B170" s="786"/>
      <c r="D170" s="785"/>
      <c r="E170" s="785"/>
      <c r="F170" s="785"/>
    </row>
    <row r="171" spans="2:6" s="784" customFormat="1" x14ac:dyDescent="0.2">
      <c r="B171" s="786"/>
      <c r="D171" s="785"/>
      <c r="E171" s="785"/>
      <c r="F171" s="785"/>
    </row>
    <row r="172" spans="2:6" s="784" customFormat="1" x14ac:dyDescent="0.2">
      <c r="B172" s="786"/>
      <c r="D172" s="785"/>
      <c r="E172" s="785"/>
      <c r="F172" s="785"/>
    </row>
    <row r="173" spans="2:6" s="784" customFormat="1" x14ac:dyDescent="0.2">
      <c r="B173" s="786"/>
      <c r="D173" s="785"/>
      <c r="E173" s="785"/>
      <c r="F173" s="785"/>
    </row>
    <row r="174" spans="2:6" s="781" customFormat="1" x14ac:dyDescent="0.2">
      <c r="B174" s="783"/>
      <c r="D174" s="782"/>
      <c r="E174" s="782"/>
      <c r="F174" s="782"/>
    </row>
    <row r="175" spans="2:6" s="784" customFormat="1" x14ac:dyDescent="0.2">
      <c r="B175" s="786"/>
      <c r="D175" s="785"/>
      <c r="E175" s="785"/>
      <c r="F175" s="785"/>
    </row>
    <row r="176" spans="2:6" s="784" customFormat="1" x14ac:dyDescent="0.2">
      <c r="B176" s="786"/>
      <c r="D176" s="785"/>
      <c r="E176" s="785"/>
      <c r="F176" s="785"/>
    </row>
    <row r="177" spans="2:6" s="784" customFormat="1" x14ac:dyDescent="0.2">
      <c r="B177" s="786"/>
      <c r="D177" s="785"/>
      <c r="E177" s="785"/>
      <c r="F177" s="785"/>
    </row>
    <row r="178" spans="2:6" s="781" customFormat="1" x14ac:dyDescent="0.2">
      <c r="B178" s="783"/>
      <c r="D178" s="782"/>
      <c r="E178" s="782"/>
      <c r="F178" s="782"/>
    </row>
    <row r="179" spans="2:6" s="781" customFormat="1" x14ac:dyDescent="0.2">
      <c r="B179" s="783"/>
      <c r="D179" s="782"/>
      <c r="E179" s="782"/>
      <c r="F179" s="782"/>
    </row>
    <row r="180" spans="2:6" s="781" customFormat="1" x14ac:dyDescent="0.2">
      <c r="B180" s="783"/>
      <c r="D180" s="782"/>
      <c r="E180" s="782"/>
      <c r="F180" s="782"/>
    </row>
    <row r="181" spans="2:6" s="781" customFormat="1" x14ac:dyDescent="0.2">
      <c r="B181" s="783"/>
      <c r="D181" s="782"/>
      <c r="E181" s="782"/>
      <c r="F181" s="782"/>
    </row>
  </sheetData>
  <mergeCells count="10">
    <mergeCell ref="B163:F163"/>
    <mergeCell ref="B164:F164"/>
    <mergeCell ref="B165:F165"/>
    <mergeCell ref="B2:F2"/>
    <mergeCell ref="B3:F3"/>
    <mergeCell ref="B4:F4"/>
    <mergeCell ref="B5:F5"/>
    <mergeCell ref="D8:E8"/>
    <mergeCell ref="B162:F162"/>
    <mergeCell ref="B81:F81"/>
  </mergeCells>
  <pageMargins left="0.75" right="0.75" top="1" bottom="1" header="0.5" footer="0.5"/>
  <pageSetup paperSize="9" scale="62" orientation="portrait" r:id="rId1"/>
  <headerFooter alignWithMargins="0"/>
  <rowBreaks count="1" manualBreakCount="1">
    <brk id="79" min="1" max="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7"/>
  <sheetViews>
    <sheetView view="pageLayout" topLeftCell="A4" zoomScaleNormal="100" workbookViewId="0">
      <selection activeCell="H22" sqref="H22"/>
    </sheetView>
  </sheetViews>
  <sheetFormatPr defaultRowHeight="15.75" x14ac:dyDescent="0.25"/>
  <cols>
    <col min="1" max="1" width="5.5703125" style="792" customWidth="1"/>
    <col min="2" max="2" width="54.85546875" style="792" customWidth="1"/>
    <col min="3" max="3" width="16.85546875" style="793" customWidth="1"/>
    <col min="4" max="4" width="13.28515625" style="793" bestFit="1" customWidth="1"/>
    <col min="5" max="5" width="12.140625" style="793" bestFit="1" customWidth="1"/>
    <col min="6" max="6" width="13.140625" style="793" customWidth="1"/>
    <col min="7" max="7" width="12.28515625" style="793" customWidth="1"/>
    <col min="8" max="8" width="17" style="793" customWidth="1"/>
    <col min="9" max="255" width="9.140625" style="792"/>
    <col min="256" max="256" width="5.5703125" style="792" customWidth="1"/>
    <col min="257" max="257" width="54.85546875" style="792" customWidth="1"/>
    <col min="258" max="258" width="18.5703125" style="792" bestFit="1" customWidth="1"/>
    <col min="259" max="259" width="12.42578125" style="792" bestFit="1" customWidth="1"/>
    <col min="260" max="260" width="12.140625" style="792" bestFit="1" customWidth="1"/>
    <col min="261" max="261" width="12.28515625" style="792" bestFit="1" customWidth="1"/>
    <col min="262" max="262" width="18.7109375" style="792" bestFit="1" customWidth="1"/>
    <col min="263" max="511" width="9.140625" style="792"/>
    <col min="512" max="512" width="5.5703125" style="792" customWidth="1"/>
    <col min="513" max="513" width="54.85546875" style="792" customWidth="1"/>
    <col min="514" max="514" width="18.5703125" style="792" bestFit="1" customWidth="1"/>
    <col min="515" max="515" width="12.42578125" style="792" bestFit="1" customWidth="1"/>
    <col min="516" max="516" width="12.140625" style="792" bestFit="1" customWidth="1"/>
    <col min="517" max="517" width="12.28515625" style="792" bestFit="1" customWidth="1"/>
    <col min="518" max="518" width="18.7109375" style="792" bestFit="1" customWidth="1"/>
    <col min="519" max="767" width="9.140625" style="792"/>
    <col min="768" max="768" width="5.5703125" style="792" customWidth="1"/>
    <col min="769" max="769" width="54.85546875" style="792" customWidth="1"/>
    <col min="770" max="770" width="18.5703125" style="792" bestFit="1" customWidth="1"/>
    <col min="771" max="771" width="12.42578125" style="792" bestFit="1" customWidth="1"/>
    <col min="772" max="772" width="12.140625" style="792" bestFit="1" customWidth="1"/>
    <col min="773" max="773" width="12.28515625" style="792" bestFit="1" customWidth="1"/>
    <col min="774" max="774" width="18.7109375" style="792" bestFit="1" customWidth="1"/>
    <col min="775" max="1023" width="9.140625" style="792"/>
    <col min="1024" max="1024" width="5.5703125" style="792" customWidth="1"/>
    <col min="1025" max="1025" width="54.85546875" style="792" customWidth="1"/>
    <col min="1026" max="1026" width="18.5703125" style="792" bestFit="1" customWidth="1"/>
    <col min="1027" max="1027" width="12.42578125" style="792" bestFit="1" customWidth="1"/>
    <col min="1028" max="1028" width="12.140625" style="792" bestFit="1" customWidth="1"/>
    <col min="1029" max="1029" width="12.28515625" style="792" bestFit="1" customWidth="1"/>
    <col min="1030" max="1030" width="18.7109375" style="792" bestFit="1" customWidth="1"/>
    <col min="1031" max="1279" width="9.140625" style="792"/>
    <col min="1280" max="1280" width="5.5703125" style="792" customWidth="1"/>
    <col min="1281" max="1281" width="54.85546875" style="792" customWidth="1"/>
    <col min="1282" max="1282" width="18.5703125" style="792" bestFit="1" customWidth="1"/>
    <col min="1283" max="1283" width="12.42578125" style="792" bestFit="1" customWidth="1"/>
    <col min="1284" max="1284" width="12.140625" style="792" bestFit="1" customWidth="1"/>
    <col min="1285" max="1285" width="12.28515625" style="792" bestFit="1" customWidth="1"/>
    <col min="1286" max="1286" width="18.7109375" style="792" bestFit="1" customWidth="1"/>
    <col min="1287" max="1535" width="9.140625" style="792"/>
    <col min="1536" max="1536" width="5.5703125" style="792" customWidth="1"/>
    <col min="1537" max="1537" width="54.85546875" style="792" customWidth="1"/>
    <col min="1538" max="1538" width="18.5703125" style="792" bestFit="1" customWidth="1"/>
    <col min="1539" max="1539" width="12.42578125" style="792" bestFit="1" customWidth="1"/>
    <col min="1540" max="1540" width="12.140625" style="792" bestFit="1" customWidth="1"/>
    <col min="1541" max="1541" width="12.28515625" style="792" bestFit="1" customWidth="1"/>
    <col min="1542" max="1542" width="18.7109375" style="792" bestFit="1" customWidth="1"/>
    <col min="1543" max="1791" width="9.140625" style="792"/>
    <col min="1792" max="1792" width="5.5703125" style="792" customWidth="1"/>
    <col min="1793" max="1793" width="54.85546875" style="792" customWidth="1"/>
    <col min="1794" max="1794" width="18.5703125" style="792" bestFit="1" customWidth="1"/>
    <col min="1795" max="1795" width="12.42578125" style="792" bestFit="1" customWidth="1"/>
    <col min="1796" max="1796" width="12.140625" style="792" bestFit="1" customWidth="1"/>
    <col min="1797" max="1797" width="12.28515625" style="792" bestFit="1" customWidth="1"/>
    <col min="1798" max="1798" width="18.7109375" style="792" bestFit="1" customWidth="1"/>
    <col min="1799" max="2047" width="9.140625" style="792"/>
    <col min="2048" max="2048" width="5.5703125" style="792" customWidth="1"/>
    <col min="2049" max="2049" width="54.85546875" style="792" customWidth="1"/>
    <col min="2050" max="2050" width="18.5703125" style="792" bestFit="1" customWidth="1"/>
    <col min="2051" max="2051" width="12.42578125" style="792" bestFit="1" customWidth="1"/>
    <col min="2052" max="2052" width="12.140625" style="792" bestFit="1" customWidth="1"/>
    <col min="2053" max="2053" width="12.28515625" style="792" bestFit="1" customWidth="1"/>
    <col min="2054" max="2054" width="18.7109375" style="792" bestFit="1" customWidth="1"/>
    <col min="2055" max="2303" width="9.140625" style="792"/>
    <col min="2304" max="2304" width="5.5703125" style="792" customWidth="1"/>
    <col min="2305" max="2305" width="54.85546875" style="792" customWidth="1"/>
    <col min="2306" max="2306" width="18.5703125" style="792" bestFit="1" customWidth="1"/>
    <col min="2307" max="2307" width="12.42578125" style="792" bestFit="1" customWidth="1"/>
    <col min="2308" max="2308" width="12.140625" style="792" bestFit="1" customWidth="1"/>
    <col min="2309" max="2309" width="12.28515625" style="792" bestFit="1" customWidth="1"/>
    <col min="2310" max="2310" width="18.7109375" style="792" bestFit="1" customWidth="1"/>
    <col min="2311" max="2559" width="9.140625" style="792"/>
    <col min="2560" max="2560" width="5.5703125" style="792" customWidth="1"/>
    <col min="2561" max="2561" width="54.85546875" style="792" customWidth="1"/>
    <col min="2562" max="2562" width="18.5703125" style="792" bestFit="1" customWidth="1"/>
    <col min="2563" max="2563" width="12.42578125" style="792" bestFit="1" customWidth="1"/>
    <col min="2564" max="2564" width="12.140625" style="792" bestFit="1" customWidth="1"/>
    <col min="2565" max="2565" width="12.28515625" style="792" bestFit="1" customWidth="1"/>
    <col min="2566" max="2566" width="18.7109375" style="792" bestFit="1" customWidth="1"/>
    <col min="2567" max="2815" width="9.140625" style="792"/>
    <col min="2816" max="2816" width="5.5703125" style="792" customWidth="1"/>
    <col min="2817" max="2817" width="54.85546875" style="792" customWidth="1"/>
    <col min="2818" max="2818" width="18.5703125" style="792" bestFit="1" customWidth="1"/>
    <col min="2819" max="2819" width="12.42578125" style="792" bestFit="1" customWidth="1"/>
    <col min="2820" max="2820" width="12.140625" style="792" bestFit="1" customWidth="1"/>
    <col min="2821" max="2821" width="12.28515625" style="792" bestFit="1" customWidth="1"/>
    <col min="2822" max="2822" width="18.7109375" style="792" bestFit="1" customWidth="1"/>
    <col min="2823" max="3071" width="9.140625" style="792"/>
    <col min="3072" max="3072" width="5.5703125" style="792" customWidth="1"/>
    <col min="3073" max="3073" width="54.85546875" style="792" customWidth="1"/>
    <col min="3074" max="3074" width="18.5703125" style="792" bestFit="1" customWidth="1"/>
    <col min="3075" max="3075" width="12.42578125" style="792" bestFit="1" customWidth="1"/>
    <col min="3076" max="3076" width="12.140625" style="792" bestFit="1" customWidth="1"/>
    <col min="3077" max="3077" width="12.28515625" style="792" bestFit="1" customWidth="1"/>
    <col min="3078" max="3078" width="18.7109375" style="792" bestFit="1" customWidth="1"/>
    <col min="3079" max="3327" width="9.140625" style="792"/>
    <col min="3328" max="3328" width="5.5703125" style="792" customWidth="1"/>
    <col min="3329" max="3329" width="54.85546875" style="792" customWidth="1"/>
    <col min="3330" max="3330" width="18.5703125" style="792" bestFit="1" customWidth="1"/>
    <col min="3331" max="3331" width="12.42578125" style="792" bestFit="1" customWidth="1"/>
    <col min="3332" max="3332" width="12.140625" style="792" bestFit="1" customWidth="1"/>
    <col min="3333" max="3333" width="12.28515625" style="792" bestFit="1" customWidth="1"/>
    <col min="3334" max="3334" width="18.7109375" style="792" bestFit="1" customWidth="1"/>
    <col min="3335" max="3583" width="9.140625" style="792"/>
    <col min="3584" max="3584" width="5.5703125" style="792" customWidth="1"/>
    <col min="3585" max="3585" width="54.85546875" style="792" customWidth="1"/>
    <col min="3586" max="3586" width="18.5703125" style="792" bestFit="1" customWidth="1"/>
    <col min="3587" max="3587" width="12.42578125" style="792" bestFit="1" customWidth="1"/>
    <col min="3588" max="3588" width="12.140625" style="792" bestFit="1" customWidth="1"/>
    <col min="3589" max="3589" width="12.28515625" style="792" bestFit="1" customWidth="1"/>
    <col min="3590" max="3590" width="18.7109375" style="792" bestFit="1" customWidth="1"/>
    <col min="3591" max="3839" width="9.140625" style="792"/>
    <col min="3840" max="3840" width="5.5703125" style="792" customWidth="1"/>
    <col min="3841" max="3841" width="54.85546875" style="792" customWidth="1"/>
    <col min="3842" max="3842" width="18.5703125" style="792" bestFit="1" customWidth="1"/>
    <col min="3843" max="3843" width="12.42578125" style="792" bestFit="1" customWidth="1"/>
    <col min="3844" max="3844" width="12.140625" style="792" bestFit="1" customWidth="1"/>
    <col min="3845" max="3845" width="12.28515625" style="792" bestFit="1" customWidth="1"/>
    <col min="3846" max="3846" width="18.7109375" style="792" bestFit="1" customWidth="1"/>
    <col min="3847" max="4095" width="9.140625" style="792"/>
    <col min="4096" max="4096" width="5.5703125" style="792" customWidth="1"/>
    <col min="4097" max="4097" width="54.85546875" style="792" customWidth="1"/>
    <col min="4098" max="4098" width="18.5703125" style="792" bestFit="1" customWidth="1"/>
    <col min="4099" max="4099" width="12.42578125" style="792" bestFit="1" customWidth="1"/>
    <col min="4100" max="4100" width="12.140625" style="792" bestFit="1" customWidth="1"/>
    <col min="4101" max="4101" width="12.28515625" style="792" bestFit="1" customWidth="1"/>
    <col min="4102" max="4102" width="18.7109375" style="792" bestFit="1" customWidth="1"/>
    <col min="4103" max="4351" width="9.140625" style="792"/>
    <col min="4352" max="4352" width="5.5703125" style="792" customWidth="1"/>
    <col min="4353" max="4353" width="54.85546875" style="792" customWidth="1"/>
    <col min="4354" max="4354" width="18.5703125" style="792" bestFit="1" customWidth="1"/>
    <col min="4355" max="4355" width="12.42578125" style="792" bestFit="1" customWidth="1"/>
    <col min="4356" max="4356" width="12.140625" style="792" bestFit="1" customWidth="1"/>
    <col min="4357" max="4357" width="12.28515625" style="792" bestFit="1" customWidth="1"/>
    <col min="4358" max="4358" width="18.7109375" style="792" bestFit="1" customWidth="1"/>
    <col min="4359" max="4607" width="9.140625" style="792"/>
    <col min="4608" max="4608" width="5.5703125" style="792" customWidth="1"/>
    <col min="4609" max="4609" width="54.85546875" style="792" customWidth="1"/>
    <col min="4610" max="4610" width="18.5703125" style="792" bestFit="1" customWidth="1"/>
    <col min="4611" max="4611" width="12.42578125" style="792" bestFit="1" customWidth="1"/>
    <col min="4612" max="4612" width="12.140625" style="792" bestFit="1" customWidth="1"/>
    <col min="4613" max="4613" width="12.28515625" style="792" bestFit="1" customWidth="1"/>
    <col min="4614" max="4614" width="18.7109375" style="792" bestFit="1" customWidth="1"/>
    <col min="4615" max="4863" width="9.140625" style="792"/>
    <col min="4864" max="4864" width="5.5703125" style="792" customWidth="1"/>
    <col min="4865" max="4865" width="54.85546875" style="792" customWidth="1"/>
    <col min="4866" max="4866" width="18.5703125" style="792" bestFit="1" customWidth="1"/>
    <col min="4867" max="4867" width="12.42578125" style="792" bestFit="1" customWidth="1"/>
    <col min="4868" max="4868" width="12.140625" style="792" bestFit="1" customWidth="1"/>
    <col min="4869" max="4869" width="12.28515625" style="792" bestFit="1" customWidth="1"/>
    <col min="4870" max="4870" width="18.7109375" style="792" bestFit="1" customWidth="1"/>
    <col min="4871" max="5119" width="9.140625" style="792"/>
    <col min="5120" max="5120" width="5.5703125" style="792" customWidth="1"/>
    <col min="5121" max="5121" width="54.85546875" style="792" customWidth="1"/>
    <col min="5122" max="5122" width="18.5703125" style="792" bestFit="1" customWidth="1"/>
    <col min="5123" max="5123" width="12.42578125" style="792" bestFit="1" customWidth="1"/>
    <col min="5124" max="5124" width="12.140625" style="792" bestFit="1" customWidth="1"/>
    <col min="5125" max="5125" width="12.28515625" style="792" bestFit="1" customWidth="1"/>
    <col min="5126" max="5126" width="18.7109375" style="792" bestFit="1" customWidth="1"/>
    <col min="5127" max="5375" width="9.140625" style="792"/>
    <col min="5376" max="5376" width="5.5703125" style="792" customWidth="1"/>
    <col min="5377" max="5377" width="54.85546875" style="792" customWidth="1"/>
    <col min="5378" max="5378" width="18.5703125" style="792" bestFit="1" customWidth="1"/>
    <col min="5379" max="5379" width="12.42578125" style="792" bestFit="1" customWidth="1"/>
    <col min="5380" max="5380" width="12.140625" style="792" bestFit="1" customWidth="1"/>
    <col min="5381" max="5381" width="12.28515625" style="792" bestFit="1" customWidth="1"/>
    <col min="5382" max="5382" width="18.7109375" style="792" bestFit="1" customWidth="1"/>
    <col min="5383" max="5631" width="9.140625" style="792"/>
    <col min="5632" max="5632" width="5.5703125" style="792" customWidth="1"/>
    <col min="5633" max="5633" width="54.85546875" style="792" customWidth="1"/>
    <col min="5634" max="5634" width="18.5703125" style="792" bestFit="1" customWidth="1"/>
    <col min="5635" max="5635" width="12.42578125" style="792" bestFit="1" customWidth="1"/>
    <col min="5636" max="5636" width="12.140625" style="792" bestFit="1" customWidth="1"/>
    <col min="5637" max="5637" width="12.28515625" style="792" bestFit="1" customWidth="1"/>
    <col min="5638" max="5638" width="18.7109375" style="792" bestFit="1" customWidth="1"/>
    <col min="5639" max="5887" width="9.140625" style="792"/>
    <col min="5888" max="5888" width="5.5703125" style="792" customWidth="1"/>
    <col min="5889" max="5889" width="54.85546875" style="792" customWidth="1"/>
    <col min="5890" max="5890" width="18.5703125" style="792" bestFit="1" customWidth="1"/>
    <col min="5891" max="5891" width="12.42578125" style="792" bestFit="1" customWidth="1"/>
    <col min="5892" max="5892" width="12.140625" style="792" bestFit="1" customWidth="1"/>
    <col min="5893" max="5893" width="12.28515625" style="792" bestFit="1" customWidth="1"/>
    <col min="5894" max="5894" width="18.7109375" style="792" bestFit="1" customWidth="1"/>
    <col min="5895" max="6143" width="9.140625" style="792"/>
    <col min="6144" max="6144" width="5.5703125" style="792" customWidth="1"/>
    <col min="6145" max="6145" width="54.85546875" style="792" customWidth="1"/>
    <col min="6146" max="6146" width="18.5703125" style="792" bestFit="1" customWidth="1"/>
    <col min="6147" max="6147" width="12.42578125" style="792" bestFit="1" customWidth="1"/>
    <col min="6148" max="6148" width="12.140625" style="792" bestFit="1" customWidth="1"/>
    <col min="6149" max="6149" width="12.28515625" style="792" bestFit="1" customWidth="1"/>
    <col min="6150" max="6150" width="18.7109375" style="792" bestFit="1" customWidth="1"/>
    <col min="6151" max="6399" width="9.140625" style="792"/>
    <col min="6400" max="6400" width="5.5703125" style="792" customWidth="1"/>
    <col min="6401" max="6401" width="54.85546875" style="792" customWidth="1"/>
    <col min="6402" max="6402" width="18.5703125" style="792" bestFit="1" customWidth="1"/>
    <col min="6403" max="6403" width="12.42578125" style="792" bestFit="1" customWidth="1"/>
    <col min="6404" max="6404" width="12.140625" style="792" bestFit="1" customWidth="1"/>
    <col min="6405" max="6405" width="12.28515625" style="792" bestFit="1" customWidth="1"/>
    <col min="6406" max="6406" width="18.7109375" style="792" bestFit="1" customWidth="1"/>
    <col min="6407" max="6655" width="9.140625" style="792"/>
    <col min="6656" max="6656" width="5.5703125" style="792" customWidth="1"/>
    <col min="6657" max="6657" width="54.85546875" style="792" customWidth="1"/>
    <col min="6658" max="6658" width="18.5703125" style="792" bestFit="1" customWidth="1"/>
    <col min="6659" max="6659" width="12.42578125" style="792" bestFit="1" customWidth="1"/>
    <col min="6660" max="6660" width="12.140625" style="792" bestFit="1" customWidth="1"/>
    <col min="6661" max="6661" width="12.28515625" style="792" bestFit="1" customWidth="1"/>
    <col min="6662" max="6662" width="18.7109375" style="792" bestFit="1" customWidth="1"/>
    <col min="6663" max="6911" width="9.140625" style="792"/>
    <col min="6912" max="6912" width="5.5703125" style="792" customWidth="1"/>
    <col min="6913" max="6913" width="54.85546875" style="792" customWidth="1"/>
    <col min="6914" max="6914" width="18.5703125" style="792" bestFit="1" customWidth="1"/>
    <col min="6915" max="6915" width="12.42578125" style="792" bestFit="1" customWidth="1"/>
    <col min="6916" max="6916" width="12.140625" style="792" bestFit="1" customWidth="1"/>
    <col min="6917" max="6917" width="12.28515625" style="792" bestFit="1" customWidth="1"/>
    <col min="6918" max="6918" width="18.7109375" style="792" bestFit="1" customWidth="1"/>
    <col min="6919" max="7167" width="9.140625" style="792"/>
    <col min="7168" max="7168" width="5.5703125" style="792" customWidth="1"/>
    <col min="7169" max="7169" width="54.85546875" style="792" customWidth="1"/>
    <col min="7170" max="7170" width="18.5703125" style="792" bestFit="1" customWidth="1"/>
    <col min="7171" max="7171" width="12.42578125" style="792" bestFit="1" customWidth="1"/>
    <col min="7172" max="7172" width="12.140625" style="792" bestFit="1" customWidth="1"/>
    <col min="7173" max="7173" width="12.28515625" style="792" bestFit="1" customWidth="1"/>
    <col min="7174" max="7174" width="18.7109375" style="792" bestFit="1" customWidth="1"/>
    <col min="7175" max="7423" width="9.140625" style="792"/>
    <col min="7424" max="7424" width="5.5703125" style="792" customWidth="1"/>
    <col min="7425" max="7425" width="54.85546875" style="792" customWidth="1"/>
    <col min="7426" max="7426" width="18.5703125" style="792" bestFit="1" customWidth="1"/>
    <col min="7427" max="7427" width="12.42578125" style="792" bestFit="1" customWidth="1"/>
    <col min="7428" max="7428" width="12.140625" style="792" bestFit="1" customWidth="1"/>
    <col min="7429" max="7429" width="12.28515625" style="792" bestFit="1" customWidth="1"/>
    <col min="7430" max="7430" width="18.7109375" style="792" bestFit="1" customWidth="1"/>
    <col min="7431" max="7679" width="9.140625" style="792"/>
    <col min="7680" max="7680" width="5.5703125" style="792" customWidth="1"/>
    <col min="7681" max="7681" width="54.85546875" style="792" customWidth="1"/>
    <col min="7682" max="7682" width="18.5703125" style="792" bestFit="1" customWidth="1"/>
    <col min="7683" max="7683" width="12.42578125" style="792" bestFit="1" customWidth="1"/>
    <col min="7684" max="7684" width="12.140625" style="792" bestFit="1" customWidth="1"/>
    <col min="7685" max="7685" width="12.28515625" style="792" bestFit="1" customWidth="1"/>
    <col min="7686" max="7686" width="18.7109375" style="792" bestFit="1" customWidth="1"/>
    <col min="7687" max="7935" width="9.140625" style="792"/>
    <col min="7936" max="7936" width="5.5703125" style="792" customWidth="1"/>
    <col min="7937" max="7937" width="54.85546875" style="792" customWidth="1"/>
    <col min="7938" max="7938" width="18.5703125" style="792" bestFit="1" customWidth="1"/>
    <col min="7939" max="7939" width="12.42578125" style="792" bestFit="1" customWidth="1"/>
    <col min="7940" max="7940" width="12.140625" style="792" bestFit="1" customWidth="1"/>
    <col min="7941" max="7941" width="12.28515625" style="792" bestFit="1" customWidth="1"/>
    <col min="7942" max="7942" width="18.7109375" style="792" bestFit="1" customWidth="1"/>
    <col min="7943" max="8191" width="9.140625" style="792"/>
    <col min="8192" max="8192" width="5.5703125" style="792" customWidth="1"/>
    <col min="8193" max="8193" width="54.85546875" style="792" customWidth="1"/>
    <col min="8194" max="8194" width="18.5703125" style="792" bestFit="1" customWidth="1"/>
    <col min="8195" max="8195" width="12.42578125" style="792" bestFit="1" customWidth="1"/>
    <col min="8196" max="8196" width="12.140625" style="792" bestFit="1" customWidth="1"/>
    <col min="8197" max="8197" width="12.28515625" style="792" bestFit="1" customWidth="1"/>
    <col min="8198" max="8198" width="18.7109375" style="792" bestFit="1" customWidth="1"/>
    <col min="8199" max="8447" width="9.140625" style="792"/>
    <col min="8448" max="8448" width="5.5703125" style="792" customWidth="1"/>
    <col min="8449" max="8449" width="54.85546875" style="792" customWidth="1"/>
    <col min="8450" max="8450" width="18.5703125" style="792" bestFit="1" customWidth="1"/>
    <col min="8451" max="8451" width="12.42578125" style="792" bestFit="1" customWidth="1"/>
    <col min="8452" max="8452" width="12.140625" style="792" bestFit="1" customWidth="1"/>
    <col min="8453" max="8453" width="12.28515625" style="792" bestFit="1" customWidth="1"/>
    <col min="8454" max="8454" width="18.7109375" style="792" bestFit="1" customWidth="1"/>
    <col min="8455" max="8703" width="9.140625" style="792"/>
    <col min="8704" max="8704" width="5.5703125" style="792" customWidth="1"/>
    <col min="8705" max="8705" width="54.85546875" style="792" customWidth="1"/>
    <col min="8706" max="8706" width="18.5703125" style="792" bestFit="1" customWidth="1"/>
    <col min="8707" max="8707" width="12.42578125" style="792" bestFit="1" customWidth="1"/>
    <col min="8708" max="8708" width="12.140625" style="792" bestFit="1" customWidth="1"/>
    <col min="8709" max="8709" width="12.28515625" style="792" bestFit="1" customWidth="1"/>
    <col min="8710" max="8710" width="18.7109375" style="792" bestFit="1" customWidth="1"/>
    <col min="8711" max="8959" width="9.140625" style="792"/>
    <col min="8960" max="8960" width="5.5703125" style="792" customWidth="1"/>
    <col min="8961" max="8961" width="54.85546875" style="792" customWidth="1"/>
    <col min="8962" max="8962" width="18.5703125" style="792" bestFit="1" customWidth="1"/>
    <col min="8963" max="8963" width="12.42578125" style="792" bestFit="1" customWidth="1"/>
    <col min="8964" max="8964" width="12.140625" style="792" bestFit="1" customWidth="1"/>
    <col min="8965" max="8965" width="12.28515625" style="792" bestFit="1" customWidth="1"/>
    <col min="8966" max="8966" width="18.7109375" style="792" bestFit="1" customWidth="1"/>
    <col min="8967" max="9215" width="9.140625" style="792"/>
    <col min="9216" max="9216" width="5.5703125" style="792" customWidth="1"/>
    <col min="9217" max="9217" width="54.85546875" style="792" customWidth="1"/>
    <col min="9218" max="9218" width="18.5703125" style="792" bestFit="1" customWidth="1"/>
    <col min="9219" max="9219" width="12.42578125" style="792" bestFit="1" customWidth="1"/>
    <col min="9220" max="9220" width="12.140625" style="792" bestFit="1" customWidth="1"/>
    <col min="9221" max="9221" width="12.28515625" style="792" bestFit="1" customWidth="1"/>
    <col min="9222" max="9222" width="18.7109375" style="792" bestFit="1" customWidth="1"/>
    <col min="9223" max="9471" width="9.140625" style="792"/>
    <col min="9472" max="9472" width="5.5703125" style="792" customWidth="1"/>
    <col min="9473" max="9473" width="54.85546875" style="792" customWidth="1"/>
    <col min="9474" max="9474" width="18.5703125" style="792" bestFit="1" customWidth="1"/>
    <col min="9475" max="9475" width="12.42578125" style="792" bestFit="1" customWidth="1"/>
    <col min="9476" max="9476" width="12.140625" style="792" bestFit="1" customWidth="1"/>
    <col min="9477" max="9477" width="12.28515625" style="792" bestFit="1" customWidth="1"/>
    <col min="9478" max="9478" width="18.7109375" style="792" bestFit="1" customWidth="1"/>
    <col min="9479" max="9727" width="9.140625" style="792"/>
    <col min="9728" max="9728" width="5.5703125" style="792" customWidth="1"/>
    <col min="9729" max="9729" width="54.85546875" style="792" customWidth="1"/>
    <col min="9730" max="9730" width="18.5703125" style="792" bestFit="1" customWidth="1"/>
    <col min="9731" max="9731" width="12.42578125" style="792" bestFit="1" customWidth="1"/>
    <col min="9732" max="9732" width="12.140625" style="792" bestFit="1" customWidth="1"/>
    <col min="9733" max="9733" width="12.28515625" style="792" bestFit="1" customWidth="1"/>
    <col min="9734" max="9734" width="18.7109375" style="792" bestFit="1" customWidth="1"/>
    <col min="9735" max="9983" width="9.140625" style="792"/>
    <col min="9984" max="9984" width="5.5703125" style="792" customWidth="1"/>
    <col min="9985" max="9985" width="54.85546875" style="792" customWidth="1"/>
    <col min="9986" max="9986" width="18.5703125" style="792" bestFit="1" customWidth="1"/>
    <col min="9987" max="9987" width="12.42578125" style="792" bestFit="1" customWidth="1"/>
    <col min="9988" max="9988" width="12.140625" style="792" bestFit="1" customWidth="1"/>
    <col min="9989" max="9989" width="12.28515625" style="792" bestFit="1" customWidth="1"/>
    <col min="9990" max="9990" width="18.7109375" style="792" bestFit="1" customWidth="1"/>
    <col min="9991" max="10239" width="9.140625" style="792"/>
    <col min="10240" max="10240" width="5.5703125" style="792" customWidth="1"/>
    <col min="10241" max="10241" width="54.85546875" style="792" customWidth="1"/>
    <col min="10242" max="10242" width="18.5703125" style="792" bestFit="1" customWidth="1"/>
    <col min="10243" max="10243" width="12.42578125" style="792" bestFit="1" customWidth="1"/>
    <col min="10244" max="10244" width="12.140625" style="792" bestFit="1" customWidth="1"/>
    <col min="10245" max="10245" width="12.28515625" style="792" bestFit="1" customWidth="1"/>
    <col min="10246" max="10246" width="18.7109375" style="792" bestFit="1" customWidth="1"/>
    <col min="10247" max="10495" width="9.140625" style="792"/>
    <col min="10496" max="10496" width="5.5703125" style="792" customWidth="1"/>
    <col min="10497" max="10497" width="54.85546875" style="792" customWidth="1"/>
    <col min="10498" max="10498" width="18.5703125" style="792" bestFit="1" customWidth="1"/>
    <col min="10499" max="10499" width="12.42578125" style="792" bestFit="1" customWidth="1"/>
    <col min="10500" max="10500" width="12.140625" style="792" bestFit="1" customWidth="1"/>
    <col min="10501" max="10501" width="12.28515625" style="792" bestFit="1" customWidth="1"/>
    <col min="10502" max="10502" width="18.7109375" style="792" bestFit="1" customWidth="1"/>
    <col min="10503" max="10751" width="9.140625" style="792"/>
    <col min="10752" max="10752" width="5.5703125" style="792" customWidth="1"/>
    <col min="10753" max="10753" width="54.85546875" style="792" customWidth="1"/>
    <col min="10754" max="10754" width="18.5703125" style="792" bestFit="1" customWidth="1"/>
    <col min="10755" max="10755" width="12.42578125" style="792" bestFit="1" customWidth="1"/>
    <col min="10756" max="10756" width="12.140625" style="792" bestFit="1" customWidth="1"/>
    <col min="10757" max="10757" width="12.28515625" style="792" bestFit="1" customWidth="1"/>
    <col min="10758" max="10758" width="18.7109375" style="792" bestFit="1" customWidth="1"/>
    <col min="10759" max="11007" width="9.140625" style="792"/>
    <col min="11008" max="11008" width="5.5703125" style="792" customWidth="1"/>
    <col min="11009" max="11009" width="54.85546875" style="792" customWidth="1"/>
    <col min="11010" max="11010" width="18.5703125" style="792" bestFit="1" customWidth="1"/>
    <col min="11011" max="11011" width="12.42578125" style="792" bestFit="1" customWidth="1"/>
    <col min="11012" max="11012" width="12.140625" style="792" bestFit="1" customWidth="1"/>
    <col min="11013" max="11013" width="12.28515625" style="792" bestFit="1" customWidth="1"/>
    <col min="11014" max="11014" width="18.7109375" style="792" bestFit="1" customWidth="1"/>
    <col min="11015" max="11263" width="9.140625" style="792"/>
    <col min="11264" max="11264" width="5.5703125" style="792" customWidth="1"/>
    <col min="11265" max="11265" width="54.85546875" style="792" customWidth="1"/>
    <col min="11266" max="11266" width="18.5703125" style="792" bestFit="1" customWidth="1"/>
    <col min="11267" max="11267" width="12.42578125" style="792" bestFit="1" customWidth="1"/>
    <col min="11268" max="11268" width="12.140625" style="792" bestFit="1" customWidth="1"/>
    <col min="11269" max="11269" width="12.28515625" style="792" bestFit="1" customWidth="1"/>
    <col min="11270" max="11270" width="18.7109375" style="792" bestFit="1" customWidth="1"/>
    <col min="11271" max="11519" width="9.140625" style="792"/>
    <col min="11520" max="11520" width="5.5703125" style="792" customWidth="1"/>
    <col min="11521" max="11521" width="54.85546875" style="792" customWidth="1"/>
    <col min="11522" max="11522" width="18.5703125" style="792" bestFit="1" customWidth="1"/>
    <col min="11523" max="11523" width="12.42578125" style="792" bestFit="1" customWidth="1"/>
    <col min="11524" max="11524" width="12.140625" style="792" bestFit="1" customWidth="1"/>
    <col min="11525" max="11525" width="12.28515625" style="792" bestFit="1" customWidth="1"/>
    <col min="11526" max="11526" width="18.7109375" style="792" bestFit="1" customWidth="1"/>
    <col min="11527" max="11775" width="9.140625" style="792"/>
    <col min="11776" max="11776" width="5.5703125" style="792" customWidth="1"/>
    <col min="11777" max="11777" width="54.85546875" style="792" customWidth="1"/>
    <col min="11778" max="11778" width="18.5703125" style="792" bestFit="1" customWidth="1"/>
    <col min="11779" max="11779" width="12.42578125" style="792" bestFit="1" customWidth="1"/>
    <col min="11780" max="11780" width="12.140625" style="792" bestFit="1" customWidth="1"/>
    <col min="11781" max="11781" width="12.28515625" style="792" bestFit="1" customWidth="1"/>
    <col min="11782" max="11782" width="18.7109375" style="792" bestFit="1" customWidth="1"/>
    <col min="11783" max="12031" width="9.140625" style="792"/>
    <col min="12032" max="12032" width="5.5703125" style="792" customWidth="1"/>
    <col min="12033" max="12033" width="54.85546875" style="792" customWidth="1"/>
    <col min="12034" max="12034" width="18.5703125" style="792" bestFit="1" customWidth="1"/>
    <col min="12035" max="12035" width="12.42578125" style="792" bestFit="1" customWidth="1"/>
    <col min="12036" max="12036" width="12.140625" style="792" bestFit="1" customWidth="1"/>
    <col min="12037" max="12037" width="12.28515625" style="792" bestFit="1" customWidth="1"/>
    <col min="12038" max="12038" width="18.7109375" style="792" bestFit="1" customWidth="1"/>
    <col min="12039" max="12287" width="9.140625" style="792"/>
    <col min="12288" max="12288" width="5.5703125" style="792" customWidth="1"/>
    <col min="12289" max="12289" width="54.85546875" style="792" customWidth="1"/>
    <col min="12290" max="12290" width="18.5703125" style="792" bestFit="1" customWidth="1"/>
    <col min="12291" max="12291" width="12.42578125" style="792" bestFit="1" customWidth="1"/>
    <col min="12292" max="12292" width="12.140625" style="792" bestFit="1" customWidth="1"/>
    <col min="12293" max="12293" width="12.28515625" style="792" bestFit="1" customWidth="1"/>
    <col min="12294" max="12294" width="18.7109375" style="792" bestFit="1" customWidth="1"/>
    <col min="12295" max="12543" width="9.140625" style="792"/>
    <col min="12544" max="12544" width="5.5703125" style="792" customWidth="1"/>
    <col min="12545" max="12545" width="54.85546875" style="792" customWidth="1"/>
    <col min="12546" max="12546" width="18.5703125" style="792" bestFit="1" customWidth="1"/>
    <col min="12547" max="12547" width="12.42578125" style="792" bestFit="1" customWidth="1"/>
    <col min="12548" max="12548" width="12.140625" style="792" bestFit="1" customWidth="1"/>
    <col min="12549" max="12549" width="12.28515625" style="792" bestFit="1" customWidth="1"/>
    <col min="12550" max="12550" width="18.7109375" style="792" bestFit="1" customWidth="1"/>
    <col min="12551" max="12799" width="9.140625" style="792"/>
    <col min="12800" max="12800" width="5.5703125" style="792" customWidth="1"/>
    <col min="12801" max="12801" width="54.85546875" style="792" customWidth="1"/>
    <col min="12802" max="12802" width="18.5703125" style="792" bestFit="1" customWidth="1"/>
    <col min="12803" max="12803" width="12.42578125" style="792" bestFit="1" customWidth="1"/>
    <col min="12804" max="12804" width="12.140625" style="792" bestFit="1" customWidth="1"/>
    <col min="12805" max="12805" width="12.28515625" style="792" bestFit="1" customWidth="1"/>
    <col min="12806" max="12806" width="18.7109375" style="792" bestFit="1" customWidth="1"/>
    <col min="12807" max="13055" width="9.140625" style="792"/>
    <col min="13056" max="13056" width="5.5703125" style="792" customWidth="1"/>
    <col min="13057" max="13057" width="54.85546875" style="792" customWidth="1"/>
    <col min="13058" max="13058" width="18.5703125" style="792" bestFit="1" customWidth="1"/>
    <col min="13059" max="13059" width="12.42578125" style="792" bestFit="1" customWidth="1"/>
    <col min="13060" max="13060" width="12.140625" style="792" bestFit="1" customWidth="1"/>
    <col min="13061" max="13061" width="12.28515625" style="792" bestFit="1" customWidth="1"/>
    <col min="13062" max="13062" width="18.7109375" style="792" bestFit="1" customWidth="1"/>
    <col min="13063" max="13311" width="9.140625" style="792"/>
    <col min="13312" max="13312" width="5.5703125" style="792" customWidth="1"/>
    <col min="13313" max="13313" width="54.85546875" style="792" customWidth="1"/>
    <col min="13314" max="13314" width="18.5703125" style="792" bestFit="1" customWidth="1"/>
    <col min="13315" max="13315" width="12.42578125" style="792" bestFit="1" customWidth="1"/>
    <col min="13316" max="13316" width="12.140625" style="792" bestFit="1" customWidth="1"/>
    <col min="13317" max="13317" width="12.28515625" style="792" bestFit="1" customWidth="1"/>
    <col min="13318" max="13318" width="18.7109375" style="792" bestFit="1" customWidth="1"/>
    <col min="13319" max="13567" width="9.140625" style="792"/>
    <col min="13568" max="13568" width="5.5703125" style="792" customWidth="1"/>
    <col min="13569" max="13569" width="54.85546875" style="792" customWidth="1"/>
    <col min="13570" max="13570" width="18.5703125" style="792" bestFit="1" customWidth="1"/>
    <col min="13571" max="13571" width="12.42578125" style="792" bestFit="1" customWidth="1"/>
    <col min="13572" max="13572" width="12.140625" style="792" bestFit="1" customWidth="1"/>
    <col min="13573" max="13573" width="12.28515625" style="792" bestFit="1" customWidth="1"/>
    <col min="13574" max="13574" width="18.7109375" style="792" bestFit="1" customWidth="1"/>
    <col min="13575" max="13823" width="9.140625" style="792"/>
    <col min="13824" max="13824" width="5.5703125" style="792" customWidth="1"/>
    <col min="13825" max="13825" width="54.85546875" style="792" customWidth="1"/>
    <col min="13826" max="13826" width="18.5703125" style="792" bestFit="1" customWidth="1"/>
    <col min="13827" max="13827" width="12.42578125" style="792" bestFit="1" customWidth="1"/>
    <col min="13828" max="13828" width="12.140625" style="792" bestFit="1" customWidth="1"/>
    <col min="13829" max="13829" width="12.28515625" style="792" bestFit="1" customWidth="1"/>
    <col min="13830" max="13830" width="18.7109375" style="792" bestFit="1" customWidth="1"/>
    <col min="13831" max="14079" width="9.140625" style="792"/>
    <col min="14080" max="14080" width="5.5703125" style="792" customWidth="1"/>
    <col min="14081" max="14081" width="54.85546875" style="792" customWidth="1"/>
    <col min="14082" max="14082" width="18.5703125" style="792" bestFit="1" customWidth="1"/>
    <col min="14083" max="14083" width="12.42578125" style="792" bestFit="1" customWidth="1"/>
    <col min="14084" max="14084" width="12.140625" style="792" bestFit="1" customWidth="1"/>
    <col min="14085" max="14085" width="12.28515625" style="792" bestFit="1" customWidth="1"/>
    <col min="14086" max="14086" width="18.7109375" style="792" bestFit="1" customWidth="1"/>
    <col min="14087" max="14335" width="9.140625" style="792"/>
    <col min="14336" max="14336" width="5.5703125" style="792" customWidth="1"/>
    <col min="14337" max="14337" width="54.85546875" style="792" customWidth="1"/>
    <col min="14338" max="14338" width="18.5703125" style="792" bestFit="1" customWidth="1"/>
    <col min="14339" max="14339" width="12.42578125" style="792" bestFit="1" customWidth="1"/>
    <col min="14340" max="14340" width="12.140625" style="792" bestFit="1" customWidth="1"/>
    <col min="14341" max="14341" width="12.28515625" style="792" bestFit="1" customWidth="1"/>
    <col min="14342" max="14342" width="18.7109375" style="792" bestFit="1" customWidth="1"/>
    <col min="14343" max="14591" width="9.140625" style="792"/>
    <col min="14592" max="14592" width="5.5703125" style="792" customWidth="1"/>
    <col min="14593" max="14593" width="54.85546875" style="792" customWidth="1"/>
    <col min="14594" max="14594" width="18.5703125" style="792" bestFit="1" customWidth="1"/>
    <col min="14595" max="14595" width="12.42578125" style="792" bestFit="1" customWidth="1"/>
    <col min="14596" max="14596" width="12.140625" style="792" bestFit="1" customWidth="1"/>
    <col min="14597" max="14597" width="12.28515625" style="792" bestFit="1" customWidth="1"/>
    <col min="14598" max="14598" width="18.7109375" style="792" bestFit="1" customWidth="1"/>
    <col min="14599" max="14847" width="9.140625" style="792"/>
    <col min="14848" max="14848" width="5.5703125" style="792" customWidth="1"/>
    <col min="14849" max="14849" width="54.85546875" style="792" customWidth="1"/>
    <col min="14850" max="14850" width="18.5703125" style="792" bestFit="1" customWidth="1"/>
    <col min="14851" max="14851" width="12.42578125" style="792" bestFit="1" customWidth="1"/>
    <col min="14852" max="14852" width="12.140625" style="792" bestFit="1" customWidth="1"/>
    <col min="14853" max="14853" width="12.28515625" style="792" bestFit="1" customWidth="1"/>
    <col min="14854" max="14854" width="18.7109375" style="792" bestFit="1" customWidth="1"/>
    <col min="14855" max="15103" width="9.140625" style="792"/>
    <col min="15104" max="15104" width="5.5703125" style="792" customWidth="1"/>
    <col min="15105" max="15105" width="54.85546875" style="792" customWidth="1"/>
    <col min="15106" max="15106" width="18.5703125" style="792" bestFit="1" customWidth="1"/>
    <col min="15107" max="15107" width="12.42578125" style="792" bestFit="1" customWidth="1"/>
    <col min="15108" max="15108" width="12.140625" style="792" bestFit="1" customWidth="1"/>
    <col min="15109" max="15109" width="12.28515625" style="792" bestFit="1" customWidth="1"/>
    <col min="15110" max="15110" width="18.7109375" style="792" bestFit="1" customWidth="1"/>
    <col min="15111" max="15359" width="9.140625" style="792"/>
    <col min="15360" max="15360" width="5.5703125" style="792" customWidth="1"/>
    <col min="15361" max="15361" width="54.85546875" style="792" customWidth="1"/>
    <col min="15362" max="15362" width="18.5703125" style="792" bestFit="1" customWidth="1"/>
    <col min="15363" max="15363" width="12.42578125" style="792" bestFit="1" customWidth="1"/>
    <col min="15364" max="15364" width="12.140625" style="792" bestFit="1" customWidth="1"/>
    <col min="15365" max="15365" width="12.28515625" style="792" bestFit="1" customWidth="1"/>
    <col min="15366" max="15366" width="18.7109375" style="792" bestFit="1" customWidth="1"/>
    <col min="15367" max="15615" width="9.140625" style="792"/>
    <col min="15616" max="15616" width="5.5703125" style="792" customWidth="1"/>
    <col min="15617" max="15617" width="54.85546875" style="792" customWidth="1"/>
    <col min="15618" max="15618" width="18.5703125" style="792" bestFit="1" customWidth="1"/>
    <col min="15619" max="15619" width="12.42578125" style="792" bestFit="1" customWidth="1"/>
    <col min="15620" max="15620" width="12.140625" style="792" bestFit="1" customWidth="1"/>
    <col min="15621" max="15621" width="12.28515625" style="792" bestFit="1" customWidth="1"/>
    <col min="15622" max="15622" width="18.7109375" style="792" bestFit="1" customWidth="1"/>
    <col min="15623" max="15871" width="9.140625" style="792"/>
    <col min="15872" max="15872" width="5.5703125" style="792" customWidth="1"/>
    <col min="15873" max="15873" width="54.85546875" style="792" customWidth="1"/>
    <col min="15874" max="15874" width="18.5703125" style="792" bestFit="1" customWidth="1"/>
    <col min="15875" max="15875" width="12.42578125" style="792" bestFit="1" customWidth="1"/>
    <col min="15876" max="15876" width="12.140625" style="792" bestFit="1" customWidth="1"/>
    <col min="15877" max="15877" width="12.28515625" style="792" bestFit="1" customWidth="1"/>
    <col min="15878" max="15878" width="18.7109375" style="792" bestFit="1" customWidth="1"/>
    <col min="15879" max="16127" width="9.140625" style="792"/>
    <col min="16128" max="16128" width="5.5703125" style="792" customWidth="1"/>
    <col min="16129" max="16129" width="54.85546875" style="792" customWidth="1"/>
    <col min="16130" max="16130" width="18.5703125" style="792" bestFit="1" customWidth="1"/>
    <col min="16131" max="16131" width="12.42578125" style="792" bestFit="1" customWidth="1"/>
    <col min="16132" max="16132" width="12.140625" style="792" bestFit="1" customWidth="1"/>
    <col min="16133" max="16133" width="12.28515625" style="792" bestFit="1" customWidth="1"/>
    <col min="16134" max="16134" width="18.7109375" style="792" bestFit="1" customWidth="1"/>
    <col min="16135" max="16384" width="9.140625" style="792"/>
  </cols>
  <sheetData>
    <row r="1" spans="1:8" x14ac:dyDescent="0.25">
      <c r="H1" s="817" t="s">
        <v>1013</v>
      </c>
    </row>
    <row r="2" spans="1:8" x14ac:dyDescent="0.25">
      <c r="B2" s="816" t="s">
        <v>148</v>
      </c>
      <c r="C2" s="815" t="s">
        <v>171</v>
      </c>
    </row>
    <row r="3" spans="1:8" s="807" customFormat="1" ht="87" customHeight="1" x14ac:dyDescent="0.25">
      <c r="A3" s="923" t="s">
        <v>1012</v>
      </c>
      <c r="B3" s="923"/>
      <c r="C3" s="923"/>
      <c r="D3" s="923"/>
      <c r="E3" s="923"/>
      <c r="F3" s="923"/>
      <c r="G3" s="923"/>
      <c r="H3" s="923"/>
    </row>
    <row r="4" spans="1:8" s="807" customFormat="1" x14ac:dyDescent="0.25">
      <c r="A4" s="814"/>
      <c r="B4" s="813"/>
      <c r="C4" s="924" t="s">
        <v>1011</v>
      </c>
      <c r="D4" s="924"/>
      <c r="E4" s="924"/>
      <c r="F4" s="924"/>
      <c r="G4" s="924"/>
      <c r="H4" s="924"/>
    </row>
    <row r="5" spans="1:8" s="807" customFormat="1" ht="31.5" x14ac:dyDescent="0.25">
      <c r="A5" s="812"/>
      <c r="B5" s="811" t="s">
        <v>620</v>
      </c>
      <c r="C5" s="810" t="s">
        <v>1010</v>
      </c>
      <c r="D5" s="808" t="s">
        <v>1009</v>
      </c>
      <c r="E5" s="808" t="s">
        <v>1008</v>
      </c>
      <c r="F5" s="808" t="s">
        <v>1007</v>
      </c>
      <c r="G5" s="809" t="s">
        <v>1006</v>
      </c>
      <c r="H5" s="808" t="s">
        <v>455</v>
      </c>
    </row>
    <row r="6" spans="1:8" ht="24" customHeight="1" x14ac:dyDescent="0.25">
      <c r="A6" s="799" t="s">
        <v>3</v>
      </c>
      <c r="B6" s="805" t="s">
        <v>1005</v>
      </c>
      <c r="C6" s="797">
        <f t="shared" ref="C6:C24" si="0">SUM(D6:H6)</f>
        <v>913838547</v>
      </c>
      <c r="D6" s="796">
        <v>32912536</v>
      </c>
      <c r="E6" s="796">
        <v>306587</v>
      </c>
      <c r="F6" s="796">
        <v>1545133</v>
      </c>
      <c r="G6" s="796">
        <v>24869048</v>
      </c>
      <c r="H6" s="806">
        <v>854205243</v>
      </c>
    </row>
    <row r="7" spans="1:8" ht="24" customHeight="1" x14ac:dyDescent="0.25">
      <c r="A7" s="799" t="s">
        <v>5</v>
      </c>
      <c r="B7" s="805" t="s">
        <v>1004</v>
      </c>
      <c r="C7" s="797">
        <f t="shared" si="0"/>
        <v>731901622</v>
      </c>
      <c r="D7" s="796">
        <v>149414982</v>
      </c>
      <c r="E7" s="796">
        <v>97277323</v>
      </c>
      <c r="F7" s="796">
        <v>82366921</v>
      </c>
      <c r="G7" s="796">
        <v>37286992</v>
      </c>
      <c r="H7" s="806">
        <v>365555404</v>
      </c>
    </row>
    <row r="8" spans="1:8" s="800" customFormat="1" ht="24" customHeight="1" x14ac:dyDescent="0.25">
      <c r="A8" s="804" t="s">
        <v>15</v>
      </c>
      <c r="B8" s="803" t="s">
        <v>1003</v>
      </c>
      <c r="C8" s="802">
        <f t="shared" si="0"/>
        <v>181936925</v>
      </c>
      <c r="D8" s="801">
        <f>D6-D7</f>
        <v>-116502446</v>
      </c>
      <c r="E8" s="801">
        <f>E6-E7</f>
        <v>-96970736</v>
      </c>
      <c r="F8" s="801">
        <f>F6-F7</f>
        <v>-80821788</v>
      </c>
      <c r="G8" s="801">
        <f>G6-G7</f>
        <v>-12417944</v>
      </c>
      <c r="H8" s="801">
        <f>H6-H7</f>
        <v>488649839</v>
      </c>
    </row>
    <row r="9" spans="1:8" ht="24" customHeight="1" x14ac:dyDescent="0.25">
      <c r="A9" s="799" t="s">
        <v>20</v>
      </c>
      <c r="B9" s="805" t="s">
        <v>1002</v>
      </c>
      <c r="C9" s="797">
        <f t="shared" si="0"/>
        <v>829368611</v>
      </c>
      <c r="D9" s="796">
        <v>116819112</v>
      </c>
      <c r="E9" s="796">
        <v>96970736</v>
      </c>
      <c r="F9" s="796">
        <v>81454285</v>
      </c>
      <c r="G9" s="796">
        <v>23098618</v>
      </c>
      <c r="H9" s="796">
        <v>511025860</v>
      </c>
    </row>
    <row r="10" spans="1:8" ht="24" customHeight="1" x14ac:dyDescent="0.25">
      <c r="A10" s="799" t="s">
        <v>29</v>
      </c>
      <c r="B10" s="805" t="s">
        <v>1001</v>
      </c>
      <c r="C10" s="797">
        <f t="shared" si="0"/>
        <v>328406921</v>
      </c>
      <c r="D10" s="796"/>
      <c r="E10" s="796"/>
      <c r="F10" s="796"/>
      <c r="G10" s="796"/>
      <c r="H10" s="796">
        <v>328406921</v>
      </c>
    </row>
    <row r="11" spans="1:8" s="800" customFormat="1" ht="24" customHeight="1" x14ac:dyDescent="0.25">
      <c r="A11" s="804" t="s">
        <v>52</v>
      </c>
      <c r="B11" s="803" t="s">
        <v>1000</v>
      </c>
      <c r="C11" s="802">
        <f t="shared" si="0"/>
        <v>500961690</v>
      </c>
      <c r="D11" s="801">
        <f>D9-D10</f>
        <v>116819112</v>
      </c>
      <c r="E11" s="801">
        <f>E9-E10</f>
        <v>96970736</v>
      </c>
      <c r="F11" s="801">
        <f>F9-F10</f>
        <v>81454285</v>
      </c>
      <c r="G11" s="801">
        <f>G9-G10</f>
        <v>23098618</v>
      </c>
      <c r="H11" s="801">
        <f>H9-H10</f>
        <v>182618939</v>
      </c>
    </row>
    <row r="12" spans="1:8" s="800" customFormat="1" ht="24" customHeight="1" x14ac:dyDescent="0.25">
      <c r="A12" s="804" t="s">
        <v>54</v>
      </c>
      <c r="B12" s="803" t="s">
        <v>999</v>
      </c>
      <c r="C12" s="802">
        <f t="shared" si="0"/>
        <v>682898615</v>
      </c>
      <c r="D12" s="801">
        <f>D11+D8</f>
        <v>316666</v>
      </c>
      <c r="E12" s="801">
        <f>E11+E8</f>
        <v>0</v>
      </c>
      <c r="F12" s="801">
        <f>F11+F8</f>
        <v>632497</v>
      </c>
      <c r="G12" s="801">
        <f>G11+G8</f>
        <v>10680674</v>
      </c>
      <c r="H12" s="801">
        <f>H11+H8</f>
        <v>671268778</v>
      </c>
    </row>
    <row r="13" spans="1:8" ht="24" customHeight="1" x14ac:dyDescent="0.25">
      <c r="A13" s="799" t="s">
        <v>56</v>
      </c>
      <c r="B13" s="805" t="s">
        <v>998</v>
      </c>
      <c r="C13" s="797">
        <f t="shared" si="0"/>
        <v>0</v>
      </c>
      <c r="D13" s="796"/>
      <c r="E13" s="796"/>
      <c r="F13" s="796"/>
      <c r="G13" s="796"/>
      <c r="H13" s="796"/>
    </row>
    <row r="14" spans="1:8" ht="24" customHeight="1" x14ac:dyDescent="0.25">
      <c r="A14" s="799" t="s">
        <v>58</v>
      </c>
      <c r="B14" s="805" t="s">
        <v>997</v>
      </c>
      <c r="C14" s="797">
        <f t="shared" si="0"/>
        <v>0</v>
      </c>
      <c r="D14" s="796"/>
      <c r="E14" s="796"/>
      <c r="F14" s="796"/>
      <c r="G14" s="796"/>
      <c r="H14" s="796"/>
    </row>
    <row r="15" spans="1:8" ht="24" customHeight="1" x14ac:dyDescent="0.25">
      <c r="A15" s="799" t="s">
        <v>59</v>
      </c>
      <c r="B15" s="805" t="s">
        <v>996</v>
      </c>
      <c r="C15" s="797">
        <f t="shared" si="0"/>
        <v>0</v>
      </c>
      <c r="D15" s="796"/>
      <c r="E15" s="796"/>
      <c r="F15" s="796"/>
      <c r="G15" s="796"/>
      <c r="H15" s="796"/>
    </row>
    <row r="16" spans="1:8" ht="24" customHeight="1" x14ac:dyDescent="0.25">
      <c r="A16" s="799" t="s">
        <v>67</v>
      </c>
      <c r="B16" s="805" t="s">
        <v>995</v>
      </c>
      <c r="C16" s="797">
        <f t="shared" si="0"/>
        <v>0</v>
      </c>
      <c r="D16" s="796"/>
      <c r="E16" s="796"/>
      <c r="F16" s="796"/>
      <c r="G16" s="796"/>
      <c r="H16" s="796"/>
    </row>
    <row r="17" spans="1:8" ht="24" customHeight="1" x14ac:dyDescent="0.25">
      <c r="A17" s="799" t="s">
        <v>69</v>
      </c>
      <c r="B17" s="805" t="s">
        <v>994</v>
      </c>
      <c r="C17" s="797">
        <f t="shared" si="0"/>
        <v>0</v>
      </c>
      <c r="D17" s="796"/>
      <c r="E17" s="796"/>
      <c r="F17" s="796"/>
      <c r="G17" s="796"/>
      <c r="H17" s="796"/>
    </row>
    <row r="18" spans="1:8" ht="31.5" x14ac:dyDescent="0.25">
      <c r="A18" s="799" t="s">
        <v>71</v>
      </c>
      <c r="B18" s="798" t="s">
        <v>993</v>
      </c>
      <c r="C18" s="797">
        <f t="shared" si="0"/>
        <v>0</v>
      </c>
      <c r="D18" s="796"/>
      <c r="E18" s="796"/>
      <c r="F18" s="796"/>
      <c r="G18" s="796"/>
      <c r="H18" s="796"/>
    </row>
    <row r="19" spans="1:8" ht="24" customHeight="1" x14ac:dyDescent="0.25">
      <c r="A19" s="799" t="s">
        <v>77</v>
      </c>
      <c r="B19" s="805" t="s">
        <v>992</v>
      </c>
      <c r="C19" s="797">
        <f t="shared" si="0"/>
        <v>0</v>
      </c>
      <c r="D19" s="796"/>
      <c r="E19" s="796"/>
      <c r="F19" s="796"/>
      <c r="G19" s="796"/>
      <c r="H19" s="796"/>
    </row>
    <row r="20" spans="1:8" s="800" customFormat="1" ht="24" customHeight="1" x14ac:dyDescent="0.25">
      <c r="A20" s="804" t="s">
        <v>79</v>
      </c>
      <c r="B20" s="803" t="s">
        <v>991</v>
      </c>
      <c r="C20" s="802">
        <f t="shared" si="0"/>
        <v>682898615</v>
      </c>
      <c r="D20" s="801">
        <f>D12+D19</f>
        <v>316666</v>
      </c>
      <c r="E20" s="801">
        <f>E12+E19</f>
        <v>0</v>
      </c>
      <c r="F20" s="801">
        <f>F12+F19</f>
        <v>632497</v>
      </c>
      <c r="G20" s="801">
        <f>G12+G19</f>
        <v>10680674</v>
      </c>
      <c r="H20" s="801">
        <f>H12</f>
        <v>671268778</v>
      </c>
    </row>
    <row r="21" spans="1:8" ht="24" customHeight="1" x14ac:dyDescent="0.25">
      <c r="A21" s="799" t="s">
        <v>155</v>
      </c>
      <c r="B21" s="805" t="s">
        <v>990</v>
      </c>
      <c r="C21" s="797">
        <f t="shared" si="0"/>
        <v>681949452</v>
      </c>
      <c r="D21" s="796">
        <v>0</v>
      </c>
      <c r="E21" s="796">
        <v>0</v>
      </c>
      <c r="F21" s="796">
        <v>0</v>
      </c>
      <c r="G21" s="796">
        <v>10680674</v>
      </c>
      <c r="H21" s="796">
        <v>671268778</v>
      </c>
    </row>
    <row r="22" spans="1:8" s="800" customFormat="1" ht="24" customHeight="1" x14ac:dyDescent="0.25">
      <c r="A22" s="804" t="s">
        <v>83</v>
      </c>
      <c r="B22" s="803" t="s">
        <v>989</v>
      </c>
      <c r="C22" s="802">
        <f t="shared" si="0"/>
        <v>949163</v>
      </c>
      <c r="D22" s="801">
        <f>D12-D21</f>
        <v>316666</v>
      </c>
      <c r="E22" s="801">
        <f>E12-E21</f>
        <v>0</v>
      </c>
      <c r="F22" s="801">
        <f>F12-F21</f>
        <v>632497</v>
      </c>
      <c r="G22" s="801">
        <f t="shared" ref="G22:H22" si="1">G12-G21</f>
        <v>0</v>
      </c>
      <c r="H22" s="801">
        <f t="shared" si="1"/>
        <v>0</v>
      </c>
    </row>
    <row r="23" spans="1:8" ht="31.5" x14ac:dyDescent="0.25">
      <c r="A23" s="799" t="s">
        <v>85</v>
      </c>
      <c r="B23" s="798" t="s">
        <v>988</v>
      </c>
      <c r="C23" s="797">
        <f t="shared" si="0"/>
        <v>0</v>
      </c>
      <c r="D23" s="796"/>
      <c r="E23" s="796"/>
      <c r="F23" s="796"/>
      <c r="G23" s="796"/>
      <c r="H23" s="796"/>
    </row>
    <row r="24" spans="1:8" ht="31.5" x14ac:dyDescent="0.25">
      <c r="A24" s="799" t="s">
        <v>987</v>
      </c>
      <c r="B24" s="798" t="s">
        <v>986</v>
      </c>
      <c r="C24" s="797">
        <f t="shared" si="0"/>
        <v>0</v>
      </c>
      <c r="D24" s="796"/>
      <c r="E24" s="796"/>
      <c r="F24" s="796"/>
      <c r="G24" s="796"/>
      <c r="H24" s="796"/>
    </row>
    <row r="25" spans="1:8" x14ac:dyDescent="0.25">
      <c r="A25" s="795"/>
      <c r="B25" s="795"/>
      <c r="C25" s="794"/>
    </row>
    <row r="26" spans="1:8" x14ac:dyDescent="0.25">
      <c r="A26" s="795"/>
      <c r="B26" s="795"/>
      <c r="C26" s="794"/>
    </row>
    <row r="27" spans="1:8" x14ac:dyDescent="0.25">
      <c r="A27" s="795"/>
      <c r="B27" s="795"/>
      <c r="C27" s="794"/>
    </row>
  </sheetData>
  <mergeCells count="2">
    <mergeCell ref="A3:H3"/>
    <mergeCell ref="C4:H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4"/>
  <sheetViews>
    <sheetView view="pageBreakPreview" zoomScaleNormal="100" zoomScaleSheetLayoutView="100" workbookViewId="0">
      <selection activeCell="A3" sqref="A3:F3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5.28515625" style="156" customWidth="1"/>
    <col min="4" max="4" width="15.7109375" style="222" customWidth="1"/>
    <col min="5" max="5" width="13.7109375" style="156" bestFit="1" customWidth="1"/>
    <col min="6" max="6" width="10.5703125" style="342" bestFit="1" customWidth="1"/>
    <col min="7" max="16384" width="9.140625" style="2"/>
  </cols>
  <sheetData>
    <row r="1" spans="1:7" x14ac:dyDescent="0.25">
      <c r="A1" s="819" t="s">
        <v>1016</v>
      </c>
      <c r="B1" s="819"/>
      <c r="C1" s="819"/>
      <c r="D1" s="819"/>
      <c r="E1" s="819"/>
      <c r="F1" s="819"/>
    </row>
    <row r="2" spans="1:7" s="1" customFormat="1" x14ac:dyDescent="0.25">
      <c r="A2" s="818" t="s">
        <v>0</v>
      </c>
      <c r="B2" s="818"/>
      <c r="C2" s="818"/>
      <c r="D2" s="818"/>
      <c r="E2" s="818"/>
      <c r="F2" s="818"/>
    </row>
    <row r="3" spans="1:7" s="1" customFormat="1" ht="44.25" customHeight="1" x14ac:dyDescent="0.25">
      <c r="A3" s="824" t="s">
        <v>395</v>
      </c>
      <c r="B3" s="824"/>
      <c r="C3" s="824"/>
      <c r="D3" s="824"/>
      <c r="E3" s="824"/>
      <c r="F3" s="824"/>
    </row>
    <row r="4" spans="1:7" s="1" customFormat="1" ht="15.75" customHeight="1" x14ac:dyDescent="0.25">
      <c r="A4" s="818" t="s">
        <v>545</v>
      </c>
      <c r="B4" s="818"/>
      <c r="C4" s="818"/>
      <c r="D4" s="818"/>
      <c r="E4" s="818"/>
      <c r="F4" s="818"/>
      <c r="G4" s="818"/>
    </row>
    <row r="5" spans="1:7" s="1" customFormat="1" x14ac:dyDescent="0.25">
      <c r="A5" s="818" t="s">
        <v>1</v>
      </c>
      <c r="B5" s="818"/>
      <c r="C5" s="818"/>
      <c r="D5" s="818"/>
      <c r="E5" s="818"/>
      <c r="F5" s="818"/>
    </row>
    <row r="6" spans="1:7" s="1" customFormat="1" ht="16.5" thickBot="1" x14ac:dyDescent="0.3">
      <c r="A6" s="18" t="s">
        <v>87</v>
      </c>
      <c r="C6" s="151"/>
      <c r="D6" s="223"/>
      <c r="E6" s="152"/>
      <c r="F6" s="341"/>
    </row>
    <row r="7" spans="1:7" s="3" customFormat="1" ht="16.5" thickBot="1" x14ac:dyDescent="0.3">
      <c r="A7" s="5">
        <v>1</v>
      </c>
      <c r="B7" s="6">
        <v>2</v>
      </c>
      <c r="C7" s="190">
        <v>3</v>
      </c>
      <c r="D7" s="247">
        <v>4</v>
      </c>
      <c r="E7" s="387">
        <v>5</v>
      </c>
      <c r="F7" s="387">
        <v>6</v>
      </c>
    </row>
    <row r="8" spans="1:7" s="1" customFormat="1" ht="32.25" thickBot="1" x14ac:dyDescent="0.3">
      <c r="A8" s="7" t="s">
        <v>4</v>
      </c>
      <c r="B8" s="6" t="s">
        <v>2</v>
      </c>
      <c r="C8" s="198" t="s">
        <v>390</v>
      </c>
      <c r="D8" s="248" t="s">
        <v>391</v>
      </c>
      <c r="E8" s="333" t="s">
        <v>392</v>
      </c>
      <c r="F8" s="327" t="s">
        <v>393</v>
      </c>
    </row>
    <row r="9" spans="1:7" s="1" customFormat="1" ht="16.5" thickBot="1" x14ac:dyDescent="0.3">
      <c r="A9" s="14" t="s">
        <v>3</v>
      </c>
      <c r="B9" s="9" t="s">
        <v>16</v>
      </c>
      <c r="C9" s="191">
        <f>SUM(C10:C15)</f>
        <v>34830</v>
      </c>
      <c r="D9" s="249">
        <f>SUM(D10:D15)</f>
        <v>58932.429000000004</v>
      </c>
      <c r="E9" s="249">
        <f>SUM(E10:E15)</f>
        <v>58932.429000000004</v>
      </c>
      <c r="F9" s="329">
        <f>E9/D9</f>
        <v>1</v>
      </c>
    </row>
    <row r="10" spans="1:7" x14ac:dyDescent="0.25">
      <c r="A10" s="15" t="s">
        <v>6</v>
      </c>
      <c r="B10" s="8" t="s">
        <v>30</v>
      </c>
      <c r="C10" s="192"/>
      <c r="D10" s="250"/>
      <c r="E10" s="154"/>
      <c r="F10" s="326"/>
    </row>
    <row r="11" spans="1:7" x14ac:dyDescent="0.25">
      <c r="A11" s="16" t="s">
        <v>7</v>
      </c>
      <c r="B11" s="4" t="s">
        <v>31</v>
      </c>
      <c r="C11" s="193"/>
      <c r="D11" s="250"/>
      <c r="E11" s="154"/>
      <c r="F11" s="324"/>
    </row>
    <row r="12" spans="1:7" x14ac:dyDescent="0.25">
      <c r="A12" s="16" t="s">
        <v>8</v>
      </c>
      <c r="B12" s="4" t="s">
        <v>316</v>
      </c>
      <c r="C12" s="193">
        <v>34830</v>
      </c>
      <c r="D12" s="250">
        <v>44492.379000000001</v>
      </c>
      <c r="E12" s="154">
        <v>44492.379000000001</v>
      </c>
      <c r="F12" s="321">
        <f t="shared" ref="F12:F50" si="0">E12/D12</f>
        <v>1</v>
      </c>
    </row>
    <row r="13" spans="1:7" x14ac:dyDescent="0.25">
      <c r="A13" s="16" t="s">
        <v>9</v>
      </c>
      <c r="B13" s="4" t="s">
        <v>33</v>
      </c>
      <c r="C13" s="193"/>
      <c r="D13" s="250"/>
      <c r="E13" s="154"/>
      <c r="F13" s="321"/>
    </row>
    <row r="14" spans="1:7" x14ac:dyDescent="0.25">
      <c r="A14" s="16" t="s">
        <v>10</v>
      </c>
      <c r="B14" s="4" t="s">
        <v>34</v>
      </c>
      <c r="C14" s="193"/>
      <c r="D14" s="250">
        <v>14440.05</v>
      </c>
      <c r="E14" s="154">
        <v>14440.05</v>
      </c>
      <c r="F14" s="321">
        <f t="shared" si="0"/>
        <v>1</v>
      </c>
    </row>
    <row r="15" spans="1:7" ht="16.5" thickBot="1" x14ac:dyDescent="0.3">
      <c r="A15" s="17" t="s">
        <v>11</v>
      </c>
      <c r="B15" s="10" t="s">
        <v>358</v>
      </c>
      <c r="C15" s="194"/>
      <c r="D15" s="250"/>
      <c r="E15" s="154"/>
      <c r="F15" s="330"/>
    </row>
    <row r="16" spans="1:7" s="1" customFormat="1" ht="16.5" thickBot="1" x14ac:dyDescent="0.3">
      <c r="A16" s="14" t="s">
        <v>5</v>
      </c>
      <c r="B16" s="9" t="s">
        <v>39</v>
      </c>
      <c r="C16" s="191">
        <f>SUM(C17:C18)</f>
        <v>32493</v>
      </c>
      <c r="D16" s="191">
        <f>SUM(D17:D18)</f>
        <v>61311.495000000003</v>
      </c>
      <c r="E16" s="249">
        <f>SUM(E17:E18)</f>
        <v>60191.517</v>
      </c>
      <c r="F16" s="329">
        <f t="shared" si="0"/>
        <v>0.98173298498103823</v>
      </c>
    </row>
    <row r="17" spans="1:6" x14ac:dyDescent="0.25">
      <c r="A17" s="15" t="s">
        <v>12</v>
      </c>
      <c r="B17" s="8" t="s">
        <v>36</v>
      </c>
      <c r="C17" s="192"/>
      <c r="D17" s="250"/>
      <c r="E17" s="154"/>
      <c r="F17" s="326"/>
    </row>
    <row r="18" spans="1:6" x14ac:dyDescent="0.25">
      <c r="A18" s="16" t="s">
        <v>13</v>
      </c>
      <c r="B18" s="4" t="s">
        <v>37</v>
      </c>
      <c r="C18" s="193">
        <v>32493</v>
      </c>
      <c r="D18" s="250">
        <v>61311.495000000003</v>
      </c>
      <c r="E18" s="154">
        <v>60191.517</v>
      </c>
      <c r="F18" s="321">
        <f t="shared" si="0"/>
        <v>0.98173298498103823</v>
      </c>
    </row>
    <row r="19" spans="1:6" ht="16.5" thickBot="1" x14ac:dyDescent="0.3">
      <c r="A19" s="17" t="s">
        <v>14</v>
      </c>
      <c r="B19" s="10" t="s">
        <v>38</v>
      </c>
      <c r="C19" s="194">
        <v>28965</v>
      </c>
      <c r="D19" s="250">
        <v>40780.508000000002</v>
      </c>
      <c r="E19" s="154">
        <v>40095.387999999999</v>
      </c>
      <c r="F19" s="321">
        <f t="shared" si="0"/>
        <v>0.98319981693214797</v>
      </c>
    </row>
    <row r="20" spans="1:6" s="1" customFormat="1" ht="16.5" thickBot="1" x14ac:dyDescent="0.3">
      <c r="A20" s="14" t="s">
        <v>15</v>
      </c>
      <c r="B20" s="9" t="s">
        <v>43</v>
      </c>
      <c r="C20" s="191">
        <f>SUM(C21:C22)</f>
        <v>322909</v>
      </c>
      <c r="D20" s="249">
        <f>SUM(D21:D22)</f>
        <v>314398.55499999999</v>
      </c>
      <c r="E20" s="249">
        <f>SUM(E21:E22)</f>
        <v>222109.965</v>
      </c>
      <c r="F20" s="329">
        <f t="shared" si="0"/>
        <v>0.70645987860853876</v>
      </c>
    </row>
    <row r="21" spans="1:6" x14ac:dyDescent="0.25">
      <c r="A21" s="15" t="s">
        <v>17</v>
      </c>
      <c r="B21" s="8" t="s">
        <v>40</v>
      </c>
      <c r="C21" s="192">
        <v>15000</v>
      </c>
      <c r="D21" s="250">
        <v>15000</v>
      </c>
      <c r="E21" s="154">
        <v>15000</v>
      </c>
      <c r="F21" s="326"/>
    </row>
    <row r="22" spans="1:6" x14ac:dyDescent="0.25">
      <c r="A22" s="16" t="s">
        <v>18</v>
      </c>
      <c r="B22" s="4" t="s">
        <v>41</v>
      </c>
      <c r="C22" s="193">
        <v>307909</v>
      </c>
      <c r="D22" s="250">
        <v>299398.55499999999</v>
      </c>
      <c r="E22" s="154">
        <v>207109.965</v>
      </c>
      <c r="F22" s="321">
        <f t="shared" si="0"/>
        <v>0.6917533887229349</v>
      </c>
    </row>
    <row r="23" spans="1:6" ht="16.5" thickBot="1" x14ac:dyDescent="0.3">
      <c r="A23" s="17" t="s">
        <v>19</v>
      </c>
      <c r="B23" s="10" t="s">
        <v>42</v>
      </c>
      <c r="C23" s="194">
        <v>307909</v>
      </c>
      <c r="D23" s="250">
        <v>299398.55499999999</v>
      </c>
      <c r="E23" s="154">
        <v>207109.965</v>
      </c>
      <c r="F23" s="331">
        <f t="shared" si="0"/>
        <v>0.6917533887229349</v>
      </c>
    </row>
    <row r="24" spans="1:6" s="1" customFormat="1" ht="16.5" thickBot="1" x14ac:dyDescent="0.3">
      <c r="A24" s="14" t="s">
        <v>20</v>
      </c>
      <c r="B24" s="9" t="s">
        <v>21</v>
      </c>
      <c r="C24" s="191">
        <f>C25+C29+C30+C31</f>
        <v>0</v>
      </c>
      <c r="D24" s="249">
        <f>D25+D29+D30+D31</f>
        <v>0</v>
      </c>
      <c r="E24" s="249">
        <f>E25+E29+E30+E31</f>
        <v>0</v>
      </c>
      <c r="F24" s="329"/>
    </row>
    <row r="25" spans="1:6" x14ac:dyDescent="0.25">
      <c r="A25" s="15" t="s">
        <v>22</v>
      </c>
      <c r="B25" s="8" t="s">
        <v>558</v>
      </c>
      <c r="C25" s="192">
        <f>C26+C27+C28</f>
        <v>0</v>
      </c>
      <c r="D25" s="252">
        <f>D26+D27+D28</f>
        <v>0</v>
      </c>
      <c r="E25" s="252">
        <f>E26+E27+E28</f>
        <v>0</v>
      </c>
      <c r="F25" s="326"/>
    </row>
    <row r="26" spans="1:6" x14ac:dyDescent="0.25">
      <c r="A26" s="16" t="s">
        <v>23</v>
      </c>
      <c r="B26" s="4" t="s">
        <v>45</v>
      </c>
      <c r="C26" s="193"/>
      <c r="D26" s="250"/>
      <c r="E26" s="154"/>
      <c r="F26" s="324"/>
    </row>
    <row r="27" spans="1:6" x14ac:dyDescent="0.25">
      <c r="A27" s="16" t="s">
        <v>24</v>
      </c>
      <c r="B27" s="4" t="s">
        <v>46</v>
      </c>
      <c r="C27" s="193"/>
      <c r="D27" s="250"/>
      <c r="E27" s="154"/>
      <c r="F27" s="324"/>
    </row>
    <row r="28" spans="1:6" x14ac:dyDescent="0.25">
      <c r="A28" s="16" t="s">
        <v>25</v>
      </c>
      <c r="B28" s="4" t="s">
        <v>47</v>
      </c>
      <c r="C28" s="193"/>
      <c r="D28" s="250"/>
      <c r="E28" s="154"/>
      <c r="F28" s="324"/>
    </row>
    <row r="29" spans="1:6" x14ac:dyDescent="0.25">
      <c r="A29" s="16" t="s">
        <v>26</v>
      </c>
      <c r="B29" s="4" t="s">
        <v>48</v>
      </c>
      <c r="C29" s="193"/>
      <c r="D29" s="250"/>
      <c r="E29" s="154"/>
      <c r="F29" s="324"/>
    </row>
    <row r="30" spans="1:6" x14ac:dyDescent="0.25">
      <c r="A30" s="16" t="s">
        <v>27</v>
      </c>
      <c r="B30" s="4" t="s">
        <v>49</v>
      </c>
      <c r="C30" s="193"/>
      <c r="D30" s="250"/>
      <c r="E30" s="154"/>
      <c r="F30" s="324"/>
    </row>
    <row r="31" spans="1:6" ht="16.5" thickBot="1" x14ac:dyDescent="0.3">
      <c r="A31" s="17" t="s">
        <v>28</v>
      </c>
      <c r="B31" s="10" t="s">
        <v>50</v>
      </c>
      <c r="C31" s="194"/>
      <c r="D31" s="254"/>
      <c r="E31" s="155"/>
      <c r="F31" s="330"/>
    </row>
    <row r="32" spans="1:6" s="1" customFormat="1" ht="16.5" thickBot="1" x14ac:dyDescent="0.3">
      <c r="A32" s="14" t="s">
        <v>29</v>
      </c>
      <c r="B32" s="9" t="s">
        <v>51</v>
      </c>
      <c r="C32" s="191">
        <v>33986</v>
      </c>
      <c r="D32" s="249">
        <v>34657.758999999998</v>
      </c>
      <c r="E32" s="158">
        <v>34657.584999999999</v>
      </c>
      <c r="F32" s="329">
        <f t="shared" si="0"/>
        <v>0.99999497947919835</v>
      </c>
    </row>
    <row r="33" spans="1:6" s="1" customFormat="1" ht="16.5" thickBot="1" x14ac:dyDescent="0.3">
      <c r="A33" s="19" t="s">
        <v>52</v>
      </c>
      <c r="B33" s="20" t="s">
        <v>53</v>
      </c>
      <c r="C33" s="195"/>
      <c r="D33" s="384"/>
      <c r="E33" s="388"/>
      <c r="F33" s="332"/>
    </row>
    <row r="34" spans="1:6" s="1" customFormat="1" ht="16.5" thickBot="1" x14ac:dyDescent="0.3">
      <c r="A34" s="14" t="s">
        <v>54</v>
      </c>
      <c r="B34" s="9" t="s">
        <v>160</v>
      </c>
      <c r="C34" s="191">
        <v>210</v>
      </c>
      <c r="D34" s="249">
        <v>258</v>
      </c>
      <c r="E34" s="158">
        <v>258</v>
      </c>
      <c r="F34" s="329">
        <f t="shared" si="0"/>
        <v>1</v>
      </c>
    </row>
    <row r="35" spans="1:6" s="1" customFormat="1" ht="16.5" thickBot="1" x14ac:dyDescent="0.3">
      <c r="A35" s="14" t="s">
        <v>56</v>
      </c>
      <c r="B35" s="9" t="s">
        <v>57</v>
      </c>
      <c r="C35" s="191"/>
      <c r="D35" s="385"/>
      <c r="E35" s="158"/>
      <c r="F35" s="329"/>
    </row>
    <row r="36" spans="1:6" s="1" customFormat="1" ht="16.5" thickBot="1" x14ac:dyDescent="0.3">
      <c r="A36" s="14" t="s">
        <v>58</v>
      </c>
      <c r="B36" s="9" t="s">
        <v>137</v>
      </c>
      <c r="C36" s="191">
        <f>C9+C16+C20+C24+C32+C33+C34+C35</f>
        <v>424428</v>
      </c>
      <c r="D36" s="249">
        <f>D9+D16+D20+D24+D32+D33+D34+D35</f>
        <v>469558.23800000001</v>
      </c>
      <c r="E36" s="249">
        <f>E9+E16+E20+E24+E32+E33+E34+E35</f>
        <v>376149.49599999998</v>
      </c>
      <c r="F36" s="329">
        <f t="shared" si="0"/>
        <v>0.80107101858577123</v>
      </c>
    </row>
    <row r="37" spans="1:6" s="1" customFormat="1" ht="16.5" thickBot="1" x14ac:dyDescent="0.3">
      <c r="A37" s="14" t="s">
        <v>59</v>
      </c>
      <c r="B37" s="9" t="s">
        <v>60</v>
      </c>
      <c r="C37" s="191">
        <f>SUM(C38:C40)</f>
        <v>0</v>
      </c>
      <c r="D37" s="249">
        <f>SUM(D38:D40)</f>
        <v>37243.444000000003</v>
      </c>
      <c r="E37" s="249">
        <f>SUM(E38:E40)</f>
        <v>37243.444000000003</v>
      </c>
      <c r="F37" s="329"/>
    </row>
    <row r="38" spans="1:6" x14ac:dyDescent="0.25">
      <c r="A38" s="15" t="s">
        <v>61</v>
      </c>
      <c r="B38" s="8" t="s">
        <v>62</v>
      </c>
      <c r="C38" s="192"/>
      <c r="D38" s="250">
        <v>37243.444000000003</v>
      </c>
      <c r="E38" s="153">
        <v>37243.444000000003</v>
      </c>
      <c r="F38" s="326"/>
    </row>
    <row r="39" spans="1:6" x14ac:dyDescent="0.25">
      <c r="A39" s="16" t="s">
        <v>63</v>
      </c>
      <c r="B39" s="4" t="s">
        <v>64</v>
      </c>
      <c r="C39" s="193"/>
      <c r="D39" s="250"/>
      <c r="E39" s="154"/>
      <c r="F39" s="324"/>
    </row>
    <row r="40" spans="1:6" ht="16.5" thickBot="1" x14ac:dyDescent="0.3">
      <c r="A40" s="17" t="s">
        <v>65</v>
      </c>
      <c r="B40" s="10" t="s">
        <v>66</v>
      </c>
      <c r="C40" s="194"/>
      <c r="D40" s="254"/>
      <c r="E40" s="155"/>
      <c r="F40" s="330"/>
    </row>
    <row r="41" spans="1:6" s="1" customFormat="1" ht="16.5" thickBot="1" x14ac:dyDescent="0.3">
      <c r="A41" s="14" t="s">
        <v>67</v>
      </c>
      <c r="B41" s="9" t="s">
        <v>68</v>
      </c>
      <c r="C41" s="191"/>
      <c r="D41" s="249"/>
      <c r="E41" s="158"/>
      <c r="F41" s="329"/>
    </row>
    <row r="42" spans="1:6" s="1" customFormat="1" ht="16.5" thickBot="1" x14ac:dyDescent="0.3">
      <c r="A42" s="14" t="s">
        <v>69</v>
      </c>
      <c r="B42" s="9" t="s">
        <v>70</v>
      </c>
      <c r="C42" s="191">
        <v>435418.299</v>
      </c>
      <c r="D42" s="249">
        <v>464234.592</v>
      </c>
      <c r="E42" s="158">
        <v>464234.592</v>
      </c>
      <c r="F42" s="329">
        <f t="shared" si="0"/>
        <v>1</v>
      </c>
    </row>
    <row r="43" spans="1:6" s="1" customFormat="1" ht="16.5" thickBot="1" x14ac:dyDescent="0.3">
      <c r="A43" s="14" t="s">
        <v>71</v>
      </c>
      <c r="B43" s="9" t="s">
        <v>72</v>
      </c>
      <c r="C43" s="191">
        <f>C44+C45</f>
        <v>0</v>
      </c>
      <c r="D43" s="249">
        <f>D44+D45</f>
        <v>1031.326</v>
      </c>
      <c r="E43" s="249">
        <f>E44+E45</f>
        <v>1031.326</v>
      </c>
      <c r="F43" s="329"/>
    </row>
    <row r="44" spans="1:6" x14ac:dyDescent="0.25">
      <c r="A44" s="15" t="s">
        <v>73</v>
      </c>
      <c r="B44" s="8" t="s">
        <v>74</v>
      </c>
      <c r="C44" s="192"/>
      <c r="D44" s="250">
        <v>1031.326</v>
      </c>
      <c r="E44" s="153">
        <v>1031.326</v>
      </c>
      <c r="F44" s="326"/>
    </row>
    <row r="45" spans="1:6" ht="16.5" thickBot="1" x14ac:dyDescent="0.3">
      <c r="A45" s="17" t="s">
        <v>75</v>
      </c>
      <c r="B45" s="10" t="s">
        <v>76</v>
      </c>
      <c r="C45" s="194"/>
      <c r="D45" s="254"/>
      <c r="E45" s="155"/>
      <c r="F45" s="330"/>
    </row>
    <row r="46" spans="1:6" s="1" customFormat="1" ht="16.5" thickBot="1" x14ac:dyDescent="0.3">
      <c r="A46" s="14" t="s">
        <v>77</v>
      </c>
      <c r="B46" s="9" t="s">
        <v>78</v>
      </c>
      <c r="C46" s="191"/>
      <c r="D46" s="249"/>
      <c r="E46" s="158"/>
      <c r="F46" s="329"/>
    </row>
    <row r="47" spans="1:6" s="1" customFormat="1" ht="16.5" thickBot="1" x14ac:dyDescent="0.3">
      <c r="A47" s="14" t="s">
        <v>79</v>
      </c>
      <c r="B47" s="9" t="s">
        <v>80</v>
      </c>
      <c r="C47" s="191"/>
      <c r="D47" s="249"/>
      <c r="E47" s="158"/>
      <c r="F47" s="329"/>
    </row>
    <row r="48" spans="1:6" s="1" customFormat="1" ht="16.5" thickBot="1" x14ac:dyDescent="0.3">
      <c r="A48" s="14" t="s">
        <v>81</v>
      </c>
      <c r="B48" s="9" t="s">
        <v>82</v>
      </c>
      <c r="C48" s="191"/>
      <c r="D48" s="249"/>
      <c r="E48" s="158"/>
      <c r="F48" s="329"/>
    </row>
    <row r="49" spans="1:6" s="1" customFormat="1" ht="16.5" thickBot="1" x14ac:dyDescent="0.3">
      <c r="A49" s="14" t="s">
        <v>83</v>
      </c>
      <c r="B49" s="9" t="s">
        <v>84</v>
      </c>
      <c r="C49" s="191">
        <f>C37+C41+C42+C43+C46+C47+C48</f>
        <v>435418.299</v>
      </c>
      <c r="D49" s="249">
        <f>D37+D41+D42+D43+D46+D47+D48</f>
        <v>502509.36200000002</v>
      </c>
      <c r="E49" s="249">
        <f>E37+E41+E42+E43+E46+E47+E48</f>
        <v>502509.36200000002</v>
      </c>
      <c r="F49" s="329">
        <f t="shared" si="0"/>
        <v>1</v>
      </c>
    </row>
    <row r="50" spans="1:6" s="1" customFormat="1" ht="32.25" thickBot="1" x14ac:dyDescent="0.3">
      <c r="A50" s="14" t="s">
        <v>85</v>
      </c>
      <c r="B50" s="11" t="s">
        <v>86</v>
      </c>
      <c r="C50" s="191">
        <f>C36+C49</f>
        <v>859846.299</v>
      </c>
      <c r="D50" s="249">
        <f>D36+D49</f>
        <v>972067.60000000009</v>
      </c>
      <c r="E50" s="249">
        <f>E36+E49</f>
        <v>878658.85800000001</v>
      </c>
      <c r="F50" s="329">
        <f t="shared" si="0"/>
        <v>0.90390715419380285</v>
      </c>
    </row>
    <row r="52" spans="1:6" x14ac:dyDescent="0.25">
      <c r="A52" s="818" t="s">
        <v>88</v>
      </c>
      <c r="B52" s="818"/>
      <c r="C52" s="818"/>
    </row>
    <row r="53" spans="1:6" ht="16.5" thickBot="1" x14ac:dyDescent="0.3">
      <c r="A53" s="18" t="s">
        <v>89</v>
      </c>
      <c r="B53" s="1"/>
      <c r="C53" s="152"/>
    </row>
    <row r="54" spans="1:6" ht="32.25" thickBot="1" x14ac:dyDescent="0.3">
      <c r="A54" s="24" t="s">
        <v>4</v>
      </c>
      <c r="B54" s="9" t="s">
        <v>90</v>
      </c>
      <c r="C54" s="198" t="s">
        <v>390</v>
      </c>
      <c r="D54" s="386" t="s">
        <v>391</v>
      </c>
      <c r="E54" s="333" t="s">
        <v>392</v>
      </c>
      <c r="F54" s="390" t="s">
        <v>393</v>
      </c>
    </row>
    <row r="55" spans="1:6" ht="16.5" thickBot="1" x14ac:dyDescent="0.3">
      <c r="A55" s="14" t="s">
        <v>3</v>
      </c>
      <c r="B55" s="9" t="s">
        <v>108</v>
      </c>
      <c r="C55" s="191">
        <f>C56+C57+C58+C59+C60+C66</f>
        <v>252924.299</v>
      </c>
      <c r="D55" s="249">
        <f>D56+D57+D58+D59+D60+D66</f>
        <v>376623.14400000003</v>
      </c>
      <c r="E55" s="249">
        <f>E56+E57+E58+E59+E60+E66</f>
        <v>204207.39500000002</v>
      </c>
      <c r="F55" s="329">
        <f>E55/D55</f>
        <v>0.54220617679300132</v>
      </c>
    </row>
    <row r="56" spans="1:6" x14ac:dyDescent="0.25">
      <c r="A56" s="21" t="s">
        <v>6</v>
      </c>
      <c r="B56" s="8" t="s">
        <v>91</v>
      </c>
      <c r="C56" s="192">
        <v>73802</v>
      </c>
      <c r="D56" s="250">
        <v>97685.964999999997</v>
      </c>
      <c r="E56" s="192">
        <v>67759.354999999996</v>
      </c>
      <c r="F56" s="328">
        <f t="shared" ref="F56:F89" si="1">E56/D56</f>
        <v>0.69364473187115461</v>
      </c>
    </row>
    <row r="57" spans="1:6" x14ac:dyDescent="0.25">
      <c r="A57" s="22" t="s">
        <v>7</v>
      </c>
      <c r="B57" s="4" t="s">
        <v>92</v>
      </c>
      <c r="C57" s="193">
        <v>15695</v>
      </c>
      <c r="D57" s="250">
        <v>20581.442999999999</v>
      </c>
      <c r="E57" s="193">
        <v>13615.267</v>
      </c>
      <c r="F57" s="321">
        <f t="shared" si="1"/>
        <v>0.66153121527970615</v>
      </c>
    </row>
    <row r="58" spans="1:6" x14ac:dyDescent="0.25">
      <c r="A58" s="22" t="s">
        <v>8</v>
      </c>
      <c r="B58" s="4" t="s">
        <v>93</v>
      </c>
      <c r="C58" s="193">
        <v>128196</v>
      </c>
      <c r="D58" s="250">
        <v>172718.37100000001</v>
      </c>
      <c r="E58" s="193">
        <v>115341.47900000001</v>
      </c>
      <c r="F58" s="321">
        <f t="shared" si="1"/>
        <v>0.66780087336511529</v>
      </c>
    </row>
    <row r="59" spans="1:6" x14ac:dyDescent="0.25">
      <c r="A59" s="22" t="s">
        <v>9</v>
      </c>
      <c r="B59" s="4" t="s">
        <v>94</v>
      </c>
      <c r="C59" s="193">
        <v>3400</v>
      </c>
      <c r="D59" s="250">
        <v>3408.59</v>
      </c>
      <c r="E59" s="193">
        <v>1465.175</v>
      </c>
      <c r="F59" s="321">
        <f t="shared" si="1"/>
        <v>0.4298478256405141</v>
      </c>
    </row>
    <row r="60" spans="1:6" x14ac:dyDescent="0.25">
      <c r="A60" s="22" t="s">
        <v>10</v>
      </c>
      <c r="B60" s="4" t="s">
        <v>95</v>
      </c>
      <c r="C60" s="193">
        <f>SUM(C61:C65)</f>
        <v>5725</v>
      </c>
      <c r="D60" s="250">
        <f>SUM(D61:D65)</f>
        <v>6046.2</v>
      </c>
      <c r="E60" s="250">
        <f>SUM(E61:E65)</f>
        <v>6026.1189999999997</v>
      </c>
      <c r="F60" s="321">
        <f t="shared" si="1"/>
        <v>0.99667874036584958</v>
      </c>
    </row>
    <row r="61" spans="1:6" x14ac:dyDescent="0.25">
      <c r="A61" s="22" t="s">
        <v>11</v>
      </c>
      <c r="B61" s="23" t="s">
        <v>370</v>
      </c>
      <c r="C61" s="193"/>
      <c r="D61" s="250"/>
      <c r="E61" s="193"/>
      <c r="F61" s="321"/>
    </row>
    <row r="62" spans="1:6" x14ac:dyDescent="0.25">
      <c r="A62" s="22" t="s">
        <v>97</v>
      </c>
      <c r="B62" s="4" t="s">
        <v>103</v>
      </c>
      <c r="C62" s="193"/>
      <c r="D62" s="250"/>
      <c r="E62" s="193"/>
      <c r="F62" s="321"/>
    </row>
    <row r="63" spans="1:6" x14ac:dyDescent="0.25">
      <c r="A63" s="22" t="s">
        <v>98</v>
      </c>
      <c r="B63" s="4" t="s">
        <v>138</v>
      </c>
      <c r="C63" s="193"/>
      <c r="D63" s="250"/>
      <c r="E63" s="193"/>
      <c r="F63" s="321"/>
    </row>
    <row r="64" spans="1:6" x14ac:dyDescent="0.25">
      <c r="A64" s="22" t="s">
        <v>99</v>
      </c>
      <c r="B64" s="4" t="s">
        <v>139</v>
      </c>
      <c r="C64" s="193">
        <v>1475</v>
      </c>
      <c r="D64" s="250">
        <v>1476.2</v>
      </c>
      <c r="E64" s="193">
        <v>1456.1189999999999</v>
      </c>
      <c r="F64" s="321">
        <f t="shared" si="1"/>
        <v>0.98639682969787279</v>
      </c>
    </row>
    <row r="65" spans="1:6" x14ac:dyDescent="0.25">
      <c r="A65" s="22" t="s">
        <v>100</v>
      </c>
      <c r="B65" s="4" t="s">
        <v>140</v>
      </c>
      <c r="C65" s="193">
        <v>4250</v>
      </c>
      <c r="D65" s="250">
        <v>4570</v>
      </c>
      <c r="E65" s="193">
        <v>4570</v>
      </c>
      <c r="F65" s="321">
        <f t="shared" si="1"/>
        <v>1</v>
      </c>
    </row>
    <row r="66" spans="1:6" x14ac:dyDescent="0.25">
      <c r="A66" s="22" t="s">
        <v>101</v>
      </c>
      <c r="B66" s="4" t="s">
        <v>102</v>
      </c>
      <c r="C66" s="193">
        <f>SUM(C67:C68)</f>
        <v>26106.298999999999</v>
      </c>
      <c r="D66" s="250">
        <f>SUM(D67:D68)</f>
        <v>76182.574999999997</v>
      </c>
      <c r="E66" s="193"/>
      <c r="F66" s="321">
        <f t="shared" si="1"/>
        <v>0</v>
      </c>
    </row>
    <row r="67" spans="1:6" x14ac:dyDescent="0.25">
      <c r="A67" s="22" t="s">
        <v>104</v>
      </c>
      <c r="B67" s="4" t="s">
        <v>105</v>
      </c>
      <c r="C67" s="193">
        <v>10951.066999999999</v>
      </c>
      <c r="D67" s="250">
        <v>56724.343999999997</v>
      </c>
      <c r="E67" s="193"/>
      <c r="F67" s="321">
        <f t="shared" si="1"/>
        <v>0</v>
      </c>
    </row>
    <row r="68" spans="1:6" ht="16.5" thickBot="1" x14ac:dyDescent="0.3">
      <c r="A68" s="25" t="s">
        <v>106</v>
      </c>
      <c r="B68" s="10" t="s">
        <v>107</v>
      </c>
      <c r="C68" s="194">
        <v>15155.232</v>
      </c>
      <c r="D68" s="250">
        <v>19458.231</v>
      </c>
      <c r="E68" s="193"/>
      <c r="F68" s="331">
        <f t="shared" si="1"/>
        <v>0</v>
      </c>
    </row>
    <row r="69" spans="1:6" ht="16.5" thickBot="1" x14ac:dyDescent="0.3">
      <c r="A69" s="14" t="s">
        <v>5</v>
      </c>
      <c r="B69" s="9" t="s">
        <v>121</v>
      </c>
      <c r="C69" s="191">
        <f>C70+C72+C74</f>
        <v>606922</v>
      </c>
      <c r="D69" s="249">
        <f>D70+D72+D74</f>
        <v>595444.45600000001</v>
      </c>
      <c r="E69" s="249">
        <f>E70+E72+E74</f>
        <v>3018.09</v>
      </c>
      <c r="F69" s="329">
        <f t="shared" si="1"/>
        <v>5.0686339751561983E-3</v>
      </c>
    </row>
    <row r="70" spans="1:6" x14ac:dyDescent="0.25">
      <c r="A70" s="21" t="s">
        <v>12</v>
      </c>
      <c r="B70" s="8" t="s">
        <v>109</v>
      </c>
      <c r="C70" s="192">
        <v>606922</v>
      </c>
      <c r="D70" s="250">
        <v>595444.45600000001</v>
      </c>
      <c r="E70" s="154">
        <v>3018.09</v>
      </c>
      <c r="F70" s="391">
        <f t="shared" si="1"/>
        <v>5.0686339751561983E-3</v>
      </c>
    </row>
    <row r="71" spans="1:6" x14ac:dyDescent="0.25">
      <c r="A71" s="22" t="s">
        <v>110</v>
      </c>
      <c r="B71" s="4" t="s">
        <v>111</v>
      </c>
      <c r="C71" s="193">
        <v>606222</v>
      </c>
      <c r="D71" s="250">
        <v>592127.13600000006</v>
      </c>
      <c r="E71" s="193">
        <v>0</v>
      </c>
      <c r="F71" s="321">
        <f t="shared" si="1"/>
        <v>0</v>
      </c>
    </row>
    <row r="72" spans="1:6" x14ac:dyDescent="0.25">
      <c r="A72" s="22" t="s">
        <v>14</v>
      </c>
      <c r="B72" s="4" t="s">
        <v>112</v>
      </c>
      <c r="C72" s="193"/>
      <c r="D72" s="250"/>
      <c r="E72" s="193"/>
      <c r="F72" s="321"/>
    </row>
    <row r="73" spans="1:6" x14ac:dyDescent="0.25">
      <c r="A73" s="22" t="s">
        <v>113</v>
      </c>
      <c r="B73" s="4" t="s">
        <v>114</v>
      </c>
      <c r="C73" s="193"/>
      <c r="D73" s="250"/>
      <c r="E73" s="193"/>
      <c r="F73" s="321"/>
    </row>
    <row r="74" spans="1:6" x14ac:dyDescent="0.25">
      <c r="A74" s="22" t="s">
        <v>115</v>
      </c>
      <c r="B74" s="4" t="s">
        <v>116</v>
      </c>
      <c r="C74" s="193"/>
      <c r="D74" s="250"/>
      <c r="E74" s="193"/>
      <c r="F74" s="321"/>
    </row>
    <row r="75" spans="1:6" x14ac:dyDescent="0.25">
      <c r="A75" s="22" t="s">
        <v>117</v>
      </c>
      <c r="B75" s="4" t="s">
        <v>118</v>
      </c>
      <c r="C75" s="193"/>
      <c r="D75" s="250"/>
      <c r="E75" s="193"/>
      <c r="F75" s="321"/>
    </row>
    <row r="76" spans="1:6" ht="16.5" thickBot="1" x14ac:dyDescent="0.3">
      <c r="A76" s="25" t="s">
        <v>119</v>
      </c>
      <c r="B76" s="10" t="s">
        <v>120</v>
      </c>
      <c r="C76" s="194"/>
      <c r="D76" s="250"/>
      <c r="E76" s="193"/>
      <c r="F76" s="331"/>
    </row>
    <row r="77" spans="1:6" ht="16.5" thickBot="1" x14ac:dyDescent="0.3">
      <c r="A77" s="14" t="s">
        <v>15</v>
      </c>
      <c r="B77" s="9" t="s">
        <v>122</v>
      </c>
      <c r="C77" s="191">
        <f>C55+C69</f>
        <v>859846.299</v>
      </c>
      <c r="D77" s="249">
        <f>D55+D69</f>
        <v>972067.60000000009</v>
      </c>
      <c r="E77" s="249">
        <f>E55+E69</f>
        <v>207225.48500000002</v>
      </c>
      <c r="F77" s="329">
        <f t="shared" si="1"/>
        <v>0.21318011730871392</v>
      </c>
    </row>
    <row r="78" spans="1:6" ht="16.5" thickBot="1" x14ac:dyDescent="0.3">
      <c r="A78" s="14" t="s">
        <v>20</v>
      </c>
      <c r="B78" s="9" t="s">
        <v>126</v>
      </c>
      <c r="C78" s="191">
        <f>SUM(C79:C81)</f>
        <v>0</v>
      </c>
      <c r="D78" s="249">
        <f>SUM(D79:D81)</f>
        <v>0</v>
      </c>
      <c r="E78" s="249">
        <f>SUM(E79:E81)</f>
        <v>0</v>
      </c>
      <c r="F78" s="329"/>
    </row>
    <row r="79" spans="1:6" x14ac:dyDescent="0.25">
      <c r="A79" s="21" t="s">
        <v>22</v>
      </c>
      <c r="B79" s="8" t="s">
        <v>123</v>
      </c>
      <c r="C79" s="192"/>
      <c r="D79" s="251"/>
      <c r="E79" s="193"/>
      <c r="F79" s="328"/>
    </row>
    <row r="80" spans="1:6" x14ac:dyDescent="0.25">
      <c r="A80" s="22" t="s">
        <v>26</v>
      </c>
      <c r="B80" s="4" t="s">
        <v>124</v>
      </c>
      <c r="C80" s="193"/>
      <c r="D80" s="250"/>
      <c r="E80" s="193"/>
      <c r="F80" s="321"/>
    </row>
    <row r="81" spans="1:6" ht="16.5" thickBot="1" x14ac:dyDescent="0.3">
      <c r="A81" s="25" t="s">
        <v>27</v>
      </c>
      <c r="B81" s="10" t="s">
        <v>125</v>
      </c>
      <c r="C81" s="194"/>
      <c r="D81" s="254"/>
      <c r="E81" s="193"/>
      <c r="F81" s="331"/>
    </row>
    <row r="82" spans="1:6" ht="16.5" thickBot="1" x14ac:dyDescent="0.3">
      <c r="A82" s="28" t="s">
        <v>29</v>
      </c>
      <c r="B82" s="29" t="s">
        <v>127</v>
      </c>
      <c r="C82" s="196"/>
      <c r="D82" s="253"/>
      <c r="E82" s="253"/>
      <c r="F82" s="329"/>
    </row>
    <row r="83" spans="1:6" ht="16.5" thickBot="1" x14ac:dyDescent="0.3">
      <c r="A83" s="14" t="s">
        <v>52</v>
      </c>
      <c r="B83" s="9" t="s">
        <v>130</v>
      </c>
      <c r="C83" s="191">
        <f>C84</f>
        <v>0</v>
      </c>
      <c r="D83" s="249">
        <f>D84</f>
        <v>0</v>
      </c>
      <c r="E83" s="249">
        <f>E84</f>
        <v>0</v>
      </c>
      <c r="F83" s="329"/>
    </row>
    <row r="84" spans="1:6" ht="16.5" thickBot="1" x14ac:dyDescent="0.3">
      <c r="A84" s="26" t="s">
        <v>128</v>
      </c>
      <c r="B84" s="27" t="s">
        <v>129</v>
      </c>
      <c r="C84" s="197"/>
      <c r="D84" s="253"/>
      <c r="E84" s="194"/>
      <c r="F84" s="338"/>
    </row>
    <row r="85" spans="1:6" ht="16.5" thickBot="1" x14ac:dyDescent="0.3">
      <c r="A85" s="14" t="s">
        <v>54</v>
      </c>
      <c r="B85" s="9" t="s">
        <v>131</v>
      </c>
      <c r="C85" s="191"/>
      <c r="D85" s="253"/>
      <c r="E85" s="245"/>
      <c r="F85" s="329"/>
    </row>
    <row r="86" spans="1:6" ht="16.5" thickBot="1" x14ac:dyDescent="0.3">
      <c r="A86" s="14" t="s">
        <v>56</v>
      </c>
      <c r="B86" s="9" t="s">
        <v>132</v>
      </c>
      <c r="C86" s="191"/>
      <c r="D86" s="253"/>
      <c r="E86" s="245"/>
      <c r="F86" s="329"/>
    </row>
    <row r="87" spans="1:6" ht="16.5" thickBot="1" x14ac:dyDescent="0.3">
      <c r="A87" s="14" t="s">
        <v>133</v>
      </c>
      <c r="B87" s="9" t="s">
        <v>134</v>
      </c>
      <c r="C87" s="191"/>
      <c r="D87" s="253"/>
      <c r="E87" s="245"/>
      <c r="F87" s="329"/>
    </row>
    <row r="88" spans="1:6" ht="16.5" thickBot="1" x14ac:dyDescent="0.3">
      <c r="A88" s="14" t="s">
        <v>59</v>
      </c>
      <c r="B88" s="9" t="s">
        <v>135</v>
      </c>
      <c r="C88" s="191">
        <f>C78+C82+C83+C85+C86+C87</f>
        <v>0</v>
      </c>
      <c r="D88" s="249">
        <f>D78+D82+D83+D85+D86+D87</f>
        <v>0</v>
      </c>
      <c r="E88" s="249">
        <f>E78+E82+E83+E85+E86+E87</f>
        <v>0</v>
      </c>
      <c r="F88" s="338"/>
    </row>
    <row r="89" spans="1:6" ht="16.5" thickBot="1" x14ac:dyDescent="0.3">
      <c r="A89" s="14" t="s">
        <v>67</v>
      </c>
      <c r="B89" s="9" t="s">
        <v>136</v>
      </c>
      <c r="C89" s="191">
        <f>C77+C88</f>
        <v>859846.299</v>
      </c>
      <c r="D89" s="249">
        <f>D77+D88</f>
        <v>972067.60000000009</v>
      </c>
      <c r="E89" s="249">
        <f>E77+E88</f>
        <v>207225.48500000002</v>
      </c>
      <c r="F89" s="329">
        <f t="shared" si="1"/>
        <v>0.21318011730871392</v>
      </c>
    </row>
    <row r="91" spans="1:6" s="30" customFormat="1" ht="29.25" customHeight="1" x14ac:dyDescent="0.25">
      <c r="A91" s="823" t="s">
        <v>141</v>
      </c>
      <c r="B91" s="823"/>
      <c r="C91" s="823"/>
      <c r="D91" s="224"/>
      <c r="E91" s="340"/>
      <c r="F91" s="343"/>
    </row>
    <row r="92" spans="1:6" ht="16.5" thickBot="1" x14ac:dyDescent="0.3">
      <c r="A92" s="18" t="s">
        <v>142</v>
      </c>
      <c r="B92" s="1"/>
      <c r="C92" s="151"/>
    </row>
    <row r="93" spans="1:6" ht="32.25" thickBot="1" x14ac:dyDescent="0.3">
      <c r="A93" s="14" t="s">
        <v>3</v>
      </c>
      <c r="B93" s="11" t="s">
        <v>143</v>
      </c>
      <c r="C93" s="191">
        <f>C36-C77</f>
        <v>-435418.299</v>
      </c>
      <c r="D93" s="249">
        <f>D36-D77</f>
        <v>-502509.36200000008</v>
      </c>
      <c r="E93" s="389">
        <f>E36-E77</f>
        <v>168924.01099999997</v>
      </c>
      <c r="F93" s="320"/>
    </row>
    <row r="94" spans="1:6" ht="32.25" thickBot="1" x14ac:dyDescent="0.3">
      <c r="A94" s="14" t="s">
        <v>5</v>
      </c>
      <c r="B94" s="11" t="s">
        <v>144</v>
      </c>
      <c r="C94" s="191">
        <f>C49-C88</f>
        <v>435418.299</v>
      </c>
      <c r="D94" s="249">
        <f>D49-D88</f>
        <v>502509.36200000002</v>
      </c>
      <c r="E94" s="389">
        <f>E49-E88</f>
        <v>502509.36200000002</v>
      </c>
      <c r="F94" s="320"/>
    </row>
  </sheetData>
  <mergeCells count="7">
    <mergeCell ref="A91:C91"/>
    <mergeCell ref="A52:C52"/>
    <mergeCell ref="A1:F1"/>
    <mergeCell ref="A2:F2"/>
    <mergeCell ref="A3:F3"/>
    <mergeCell ref="A5:F5"/>
    <mergeCell ref="A4:G4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4"/>
  <sheetViews>
    <sheetView workbookViewId="0">
      <selection activeCell="A2" sqref="A2:D2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7.5703125" style="370" customWidth="1"/>
    <col min="4" max="4" width="15.5703125" style="360" customWidth="1"/>
    <col min="5" max="5" width="10.140625" style="361" bestFit="1" customWidth="1"/>
    <col min="6" max="6" width="9.140625" style="362" customWidth="1"/>
    <col min="7" max="16384" width="9.140625" style="2"/>
  </cols>
  <sheetData>
    <row r="1" spans="1:7" x14ac:dyDescent="0.25">
      <c r="A1" s="819" t="s">
        <v>1017</v>
      </c>
      <c r="B1" s="819"/>
      <c r="C1" s="819"/>
      <c r="D1" s="819"/>
      <c r="E1" s="819"/>
      <c r="F1" s="819"/>
    </row>
    <row r="2" spans="1:7" s="1" customFormat="1" x14ac:dyDescent="0.25">
      <c r="A2" s="818" t="s">
        <v>0</v>
      </c>
      <c r="B2" s="818"/>
      <c r="C2" s="818"/>
      <c r="D2" s="818"/>
      <c r="E2" s="344"/>
      <c r="F2" s="345"/>
    </row>
    <row r="3" spans="1:7" s="1" customFormat="1" ht="40.5" customHeight="1" x14ac:dyDescent="0.25">
      <c r="A3" s="824" t="s">
        <v>396</v>
      </c>
      <c r="B3" s="824"/>
      <c r="C3" s="824"/>
      <c r="D3" s="824"/>
      <c r="E3" s="824"/>
      <c r="F3" s="824"/>
    </row>
    <row r="4" spans="1:7" s="1" customFormat="1" ht="15.75" customHeight="1" x14ac:dyDescent="0.25">
      <c r="A4" s="818" t="s">
        <v>545</v>
      </c>
      <c r="B4" s="818"/>
      <c r="C4" s="818"/>
      <c r="D4" s="818"/>
      <c r="E4" s="818"/>
      <c r="F4" s="818"/>
      <c r="G4" s="818"/>
    </row>
    <row r="5" spans="1:7" s="1" customFormat="1" x14ac:dyDescent="0.25">
      <c r="A5" s="818" t="s">
        <v>1</v>
      </c>
      <c r="B5" s="818"/>
      <c r="C5" s="818"/>
      <c r="D5" s="818"/>
      <c r="E5" s="818"/>
      <c r="F5" s="818"/>
    </row>
    <row r="6" spans="1:7" s="1" customFormat="1" ht="16.5" thickBot="1" x14ac:dyDescent="0.3">
      <c r="A6" s="18" t="s">
        <v>87</v>
      </c>
      <c r="C6" s="346"/>
      <c r="D6" s="180"/>
      <c r="E6" s="344"/>
      <c r="F6" s="345"/>
    </row>
    <row r="7" spans="1:7" s="3" customFormat="1" ht="16.5" thickBot="1" x14ac:dyDescent="0.3">
      <c r="A7" s="5">
        <v>1</v>
      </c>
      <c r="B7" s="6">
        <v>2</v>
      </c>
      <c r="C7" s="347">
        <v>3</v>
      </c>
      <c r="D7" s="348">
        <v>4</v>
      </c>
      <c r="E7" s="371">
        <v>5</v>
      </c>
      <c r="F7" s="371">
        <v>6</v>
      </c>
    </row>
    <row r="8" spans="1:7" s="1" customFormat="1" ht="32.25" thickBot="1" x14ac:dyDescent="0.3">
      <c r="A8" s="7" t="s">
        <v>4</v>
      </c>
      <c r="B8" s="6" t="s">
        <v>2</v>
      </c>
      <c r="C8" s="349" t="s">
        <v>390</v>
      </c>
      <c r="D8" s="350" t="s">
        <v>391</v>
      </c>
      <c r="E8" s="333" t="s">
        <v>392</v>
      </c>
      <c r="F8" s="327" t="s">
        <v>393</v>
      </c>
    </row>
    <row r="9" spans="1:7" s="1" customFormat="1" ht="16.5" thickBot="1" x14ac:dyDescent="0.3">
      <c r="A9" s="14" t="s">
        <v>3</v>
      </c>
      <c r="B9" s="9" t="s">
        <v>16</v>
      </c>
      <c r="C9" s="351">
        <f>SUM(C10:C15)</f>
        <v>7170</v>
      </c>
      <c r="D9" s="351">
        <f>SUM(D10:D15)</f>
        <v>7170</v>
      </c>
      <c r="E9" s="352">
        <f>SUM(E10:E15)</f>
        <v>7170</v>
      </c>
      <c r="F9" s="373">
        <f>E9/D9</f>
        <v>1</v>
      </c>
    </row>
    <row r="10" spans="1:7" x14ac:dyDescent="0.25">
      <c r="A10" s="15" t="s">
        <v>6</v>
      </c>
      <c r="B10" s="8" t="s">
        <v>30</v>
      </c>
      <c r="C10" s="353">
        <v>7170</v>
      </c>
      <c r="D10" s="353">
        <v>7170</v>
      </c>
      <c r="E10" s="354">
        <v>7170</v>
      </c>
      <c r="F10" s="372">
        <f>E10/D10</f>
        <v>1</v>
      </c>
    </row>
    <row r="11" spans="1:7" x14ac:dyDescent="0.25">
      <c r="A11" s="16" t="s">
        <v>7</v>
      </c>
      <c r="B11" s="4" t="s">
        <v>31</v>
      </c>
      <c r="C11" s="355"/>
      <c r="D11" s="355"/>
      <c r="E11" s="354"/>
      <c r="F11" s="356"/>
    </row>
    <row r="12" spans="1:7" x14ac:dyDescent="0.25">
      <c r="A12" s="16" t="s">
        <v>8</v>
      </c>
      <c r="B12" s="4" t="s">
        <v>32</v>
      </c>
      <c r="C12" s="355"/>
      <c r="D12" s="355"/>
      <c r="E12" s="354"/>
      <c r="F12" s="356"/>
    </row>
    <row r="13" spans="1:7" x14ac:dyDescent="0.25">
      <c r="A13" s="16" t="s">
        <v>9</v>
      </c>
      <c r="B13" s="4" t="s">
        <v>33</v>
      </c>
      <c r="C13" s="355"/>
      <c r="D13" s="355"/>
      <c r="E13" s="354"/>
      <c r="F13" s="356"/>
    </row>
    <row r="14" spans="1:7" x14ac:dyDescent="0.25">
      <c r="A14" s="16" t="s">
        <v>10</v>
      </c>
      <c r="B14" s="4" t="s">
        <v>34</v>
      </c>
      <c r="C14" s="355"/>
      <c r="D14" s="355"/>
      <c r="E14" s="354"/>
      <c r="F14" s="356"/>
    </row>
    <row r="15" spans="1:7" ht="16.5" thickBot="1" x14ac:dyDescent="0.3">
      <c r="A15" s="17" t="s">
        <v>11</v>
      </c>
      <c r="B15" s="10" t="s">
        <v>35</v>
      </c>
      <c r="C15" s="357"/>
      <c r="D15" s="357"/>
      <c r="E15" s="354"/>
      <c r="F15" s="374"/>
    </row>
    <row r="16" spans="1:7" s="1" customFormat="1" ht="16.5" thickBot="1" x14ac:dyDescent="0.3">
      <c r="A16" s="14" t="s">
        <v>5</v>
      </c>
      <c r="B16" s="9" t="s">
        <v>39</v>
      </c>
      <c r="C16" s="351">
        <f>SUM(C17:C19)</f>
        <v>0</v>
      </c>
      <c r="D16" s="351">
        <f>SUM(D17:D19)</f>
        <v>0</v>
      </c>
      <c r="E16" s="352">
        <f>SUM(E17:E19)</f>
        <v>0</v>
      </c>
      <c r="F16" s="373"/>
    </row>
    <row r="17" spans="1:6" x14ac:dyDescent="0.25">
      <c r="A17" s="15" t="s">
        <v>12</v>
      </c>
      <c r="B17" s="8" t="s">
        <v>36</v>
      </c>
      <c r="C17" s="353"/>
      <c r="D17" s="353"/>
      <c r="E17" s="354"/>
      <c r="F17" s="372"/>
    </row>
    <row r="18" spans="1:6" x14ac:dyDescent="0.25">
      <c r="A18" s="16" t="s">
        <v>13</v>
      </c>
      <c r="B18" s="4" t="s">
        <v>37</v>
      </c>
      <c r="C18" s="355"/>
      <c r="D18" s="355"/>
      <c r="E18" s="354"/>
      <c r="F18" s="356"/>
    </row>
    <row r="19" spans="1:6" ht="16.5" thickBot="1" x14ac:dyDescent="0.3">
      <c r="A19" s="17" t="s">
        <v>14</v>
      </c>
      <c r="B19" s="10" t="s">
        <v>38</v>
      </c>
      <c r="C19" s="357"/>
      <c r="D19" s="357"/>
      <c r="E19" s="354"/>
      <c r="F19" s="374"/>
    </row>
    <row r="20" spans="1:6" s="1" customFormat="1" ht="16.5" thickBot="1" x14ac:dyDescent="0.3">
      <c r="A20" s="14" t="s">
        <v>15</v>
      </c>
      <c r="B20" s="9" t="s">
        <v>43</v>
      </c>
      <c r="C20" s="351">
        <f>SUM(C21:C22)</f>
        <v>0</v>
      </c>
      <c r="D20" s="351">
        <f>SUM(D21:D22)</f>
        <v>0</v>
      </c>
      <c r="E20" s="352">
        <f>SUM(E21:E22)</f>
        <v>0</v>
      </c>
      <c r="F20" s="373"/>
    </row>
    <row r="21" spans="1:6" x14ac:dyDescent="0.25">
      <c r="A21" s="15" t="s">
        <v>17</v>
      </c>
      <c r="B21" s="8" t="s">
        <v>40</v>
      </c>
      <c r="C21" s="353"/>
      <c r="D21" s="353"/>
      <c r="E21" s="354"/>
      <c r="F21" s="372"/>
    </row>
    <row r="22" spans="1:6" x14ac:dyDescent="0.25">
      <c r="A22" s="16" t="s">
        <v>18</v>
      </c>
      <c r="B22" s="4" t="s">
        <v>41</v>
      </c>
      <c r="C22" s="355"/>
      <c r="D22" s="355"/>
      <c r="E22" s="354"/>
      <c r="F22" s="356"/>
    </row>
    <row r="23" spans="1:6" ht="16.5" thickBot="1" x14ac:dyDescent="0.3">
      <c r="A23" s="17" t="s">
        <v>19</v>
      </c>
      <c r="B23" s="10" t="s">
        <v>42</v>
      </c>
      <c r="C23" s="357"/>
      <c r="D23" s="357"/>
      <c r="E23" s="354"/>
      <c r="F23" s="374"/>
    </row>
    <row r="24" spans="1:6" s="1" customFormat="1" ht="16.5" thickBot="1" x14ac:dyDescent="0.3">
      <c r="A24" s="14" t="s">
        <v>20</v>
      </c>
      <c r="B24" s="9" t="s">
        <v>21</v>
      </c>
      <c r="C24" s="351">
        <f>C25+C29+C30+C31</f>
        <v>0</v>
      </c>
      <c r="D24" s="351">
        <f>D25+D29+D30+D31</f>
        <v>0</v>
      </c>
      <c r="E24" s="352">
        <f>E25+E29+E30+E31</f>
        <v>0</v>
      </c>
      <c r="F24" s="373"/>
    </row>
    <row r="25" spans="1:6" x14ac:dyDescent="0.25">
      <c r="A25" s="15" t="s">
        <v>22</v>
      </c>
      <c r="B25" s="8" t="s">
        <v>44</v>
      </c>
      <c r="C25" s="353"/>
      <c r="D25" s="353"/>
      <c r="E25" s="354"/>
      <c r="F25" s="372"/>
    </row>
    <row r="26" spans="1:6" x14ac:dyDescent="0.25">
      <c r="A26" s="16" t="s">
        <v>23</v>
      </c>
      <c r="B26" s="4" t="s">
        <v>45</v>
      </c>
      <c r="C26" s="355"/>
      <c r="D26" s="355"/>
      <c r="E26" s="354"/>
      <c r="F26" s="356"/>
    </row>
    <row r="27" spans="1:6" x14ac:dyDescent="0.25">
      <c r="A27" s="16" t="s">
        <v>24</v>
      </c>
      <c r="B27" s="4" t="s">
        <v>46</v>
      </c>
      <c r="C27" s="355"/>
      <c r="D27" s="355"/>
      <c r="E27" s="354"/>
      <c r="F27" s="356"/>
    </row>
    <row r="28" spans="1:6" x14ac:dyDescent="0.25">
      <c r="A28" s="16" t="s">
        <v>25</v>
      </c>
      <c r="B28" s="4" t="s">
        <v>47</v>
      </c>
      <c r="C28" s="355"/>
      <c r="D28" s="355"/>
      <c r="E28" s="354"/>
      <c r="F28" s="356"/>
    </row>
    <row r="29" spans="1:6" x14ac:dyDescent="0.25">
      <c r="A29" s="16" t="s">
        <v>26</v>
      </c>
      <c r="B29" s="4" t="s">
        <v>48</v>
      </c>
      <c r="C29" s="355"/>
      <c r="D29" s="355"/>
      <c r="E29" s="354"/>
      <c r="F29" s="356"/>
    </row>
    <row r="30" spans="1:6" x14ac:dyDescent="0.25">
      <c r="A30" s="16" t="s">
        <v>27</v>
      </c>
      <c r="B30" s="4" t="s">
        <v>49</v>
      </c>
      <c r="C30" s="355"/>
      <c r="D30" s="355"/>
      <c r="E30" s="354"/>
      <c r="F30" s="356"/>
    </row>
    <row r="31" spans="1:6" ht="16.5" thickBot="1" x14ac:dyDescent="0.3">
      <c r="A31" s="17" t="s">
        <v>28</v>
      </c>
      <c r="B31" s="10" t="s">
        <v>50</v>
      </c>
      <c r="C31" s="357"/>
      <c r="D31" s="357"/>
      <c r="E31" s="354"/>
      <c r="F31" s="374"/>
    </row>
    <row r="32" spans="1:6" s="1" customFormat="1" ht="16.5" thickBot="1" x14ac:dyDescent="0.3">
      <c r="A32" s="14" t="s">
        <v>29</v>
      </c>
      <c r="B32" s="9" t="s">
        <v>51</v>
      </c>
      <c r="C32" s="351"/>
      <c r="D32" s="351"/>
      <c r="E32" s="352"/>
      <c r="F32" s="373"/>
    </row>
    <row r="33" spans="1:6" s="1" customFormat="1" ht="16.5" thickBot="1" x14ac:dyDescent="0.3">
      <c r="A33" s="19" t="s">
        <v>52</v>
      </c>
      <c r="B33" s="20" t="s">
        <v>53</v>
      </c>
      <c r="C33" s="358"/>
      <c r="D33" s="358"/>
      <c r="E33" s="359"/>
      <c r="F33" s="373"/>
    </row>
    <row r="34" spans="1:6" s="1" customFormat="1" ht="16.5" thickBot="1" x14ac:dyDescent="0.3">
      <c r="A34" s="14" t="s">
        <v>54</v>
      </c>
      <c r="B34" s="9" t="s">
        <v>55</v>
      </c>
      <c r="C34" s="351"/>
      <c r="D34" s="351"/>
      <c r="E34" s="352"/>
      <c r="F34" s="373"/>
    </row>
    <row r="35" spans="1:6" s="1" customFormat="1" ht="16.5" thickBot="1" x14ac:dyDescent="0.3">
      <c r="A35" s="14" t="s">
        <v>56</v>
      </c>
      <c r="B35" s="9" t="s">
        <v>57</v>
      </c>
      <c r="C35" s="351"/>
      <c r="D35" s="351"/>
      <c r="E35" s="352"/>
      <c r="F35" s="373"/>
    </row>
    <row r="36" spans="1:6" s="1" customFormat="1" ht="16.5" thickBot="1" x14ac:dyDescent="0.3">
      <c r="A36" s="14" t="s">
        <v>58</v>
      </c>
      <c r="B36" s="9" t="s">
        <v>137</v>
      </c>
      <c r="C36" s="351">
        <f>C9+C16+C20+C24+C32+C33+C34+C35</f>
        <v>7170</v>
      </c>
      <c r="D36" s="351">
        <f>D9+D16+D20+D24+D32+D33+D34+D35</f>
        <v>7170</v>
      </c>
      <c r="E36" s="352">
        <f>E9+E16+E20+E24+E32+E33+E34+E35</f>
        <v>7170</v>
      </c>
      <c r="F36" s="373">
        <f>E36/D36</f>
        <v>1</v>
      </c>
    </row>
    <row r="37" spans="1:6" s="1" customFormat="1" ht="16.5" thickBot="1" x14ac:dyDescent="0.3">
      <c r="A37" s="14" t="s">
        <v>59</v>
      </c>
      <c r="B37" s="9" t="s">
        <v>60</v>
      </c>
      <c r="C37" s="351">
        <f>SUM(C38:C40)</f>
        <v>0</v>
      </c>
      <c r="D37" s="351">
        <f>SUM(D38:D40)</f>
        <v>0</v>
      </c>
      <c r="E37" s="352">
        <f>SUM(E38:E40)</f>
        <v>0</v>
      </c>
      <c r="F37" s="373"/>
    </row>
    <row r="38" spans="1:6" x14ac:dyDescent="0.25">
      <c r="A38" s="15" t="s">
        <v>61</v>
      </c>
      <c r="B38" s="8" t="s">
        <v>62</v>
      </c>
      <c r="C38" s="353"/>
      <c r="D38" s="353"/>
      <c r="E38" s="354"/>
      <c r="F38" s="372"/>
    </row>
    <row r="39" spans="1:6" x14ac:dyDescent="0.25">
      <c r="A39" s="16" t="s">
        <v>63</v>
      </c>
      <c r="B39" s="4" t="s">
        <v>64</v>
      </c>
      <c r="C39" s="355"/>
      <c r="D39" s="355"/>
      <c r="E39" s="354"/>
      <c r="F39" s="356"/>
    </row>
    <row r="40" spans="1:6" ht="16.5" thickBot="1" x14ac:dyDescent="0.3">
      <c r="A40" s="17" t="s">
        <v>65</v>
      </c>
      <c r="B40" s="10" t="s">
        <v>66</v>
      </c>
      <c r="C40" s="357"/>
      <c r="D40" s="357"/>
      <c r="E40" s="375"/>
      <c r="F40" s="374"/>
    </row>
    <row r="41" spans="1:6" s="1" customFormat="1" ht="16.5" thickBot="1" x14ac:dyDescent="0.3">
      <c r="A41" s="14" t="s">
        <v>67</v>
      </c>
      <c r="B41" s="9" t="s">
        <v>68</v>
      </c>
      <c r="C41" s="351"/>
      <c r="D41" s="351"/>
      <c r="E41" s="377"/>
      <c r="F41" s="373"/>
    </row>
    <row r="42" spans="1:6" s="1" customFormat="1" ht="16.5" thickBot="1" x14ac:dyDescent="0.3">
      <c r="A42" s="14" t="s">
        <v>69</v>
      </c>
      <c r="B42" s="9" t="s">
        <v>70</v>
      </c>
      <c r="C42" s="351"/>
      <c r="D42" s="351"/>
      <c r="E42" s="376"/>
      <c r="F42" s="378"/>
    </row>
    <row r="43" spans="1:6" s="1" customFormat="1" ht="16.5" thickBot="1" x14ac:dyDescent="0.3">
      <c r="A43" s="14" t="s">
        <v>71</v>
      </c>
      <c r="B43" s="9" t="s">
        <v>72</v>
      </c>
      <c r="C43" s="351">
        <f>C44+C45</f>
        <v>0</v>
      </c>
      <c r="D43" s="351">
        <f>D44+D45</f>
        <v>0</v>
      </c>
      <c r="E43" s="352">
        <f>E44+E45</f>
        <v>0</v>
      </c>
      <c r="F43" s="373"/>
    </row>
    <row r="44" spans="1:6" x14ac:dyDescent="0.25">
      <c r="A44" s="15" t="s">
        <v>73</v>
      </c>
      <c r="B44" s="8" t="s">
        <v>74</v>
      </c>
      <c r="C44" s="353"/>
      <c r="D44" s="353"/>
      <c r="E44" s="354"/>
      <c r="F44" s="372"/>
    </row>
    <row r="45" spans="1:6" ht="16.5" thickBot="1" x14ac:dyDescent="0.3">
      <c r="A45" s="17" t="s">
        <v>75</v>
      </c>
      <c r="B45" s="10" t="s">
        <v>76</v>
      </c>
      <c r="C45" s="357"/>
      <c r="D45" s="357"/>
      <c r="E45" s="375"/>
      <c r="F45" s="374"/>
    </row>
    <row r="46" spans="1:6" s="1" customFormat="1" ht="16.5" thickBot="1" x14ac:dyDescent="0.3">
      <c r="A46" s="14" t="s">
        <v>77</v>
      </c>
      <c r="B46" s="9" t="s">
        <v>78</v>
      </c>
      <c r="C46" s="351"/>
      <c r="D46" s="351"/>
      <c r="E46" s="377"/>
      <c r="F46" s="373"/>
    </row>
    <row r="47" spans="1:6" s="1" customFormat="1" ht="16.5" thickBot="1" x14ac:dyDescent="0.3">
      <c r="A47" s="14" t="s">
        <v>79</v>
      </c>
      <c r="B47" s="9" t="s">
        <v>80</v>
      </c>
      <c r="C47" s="351"/>
      <c r="D47" s="351"/>
      <c r="E47" s="377"/>
      <c r="F47" s="373"/>
    </row>
    <row r="48" spans="1:6" s="1" customFormat="1" ht="16.5" thickBot="1" x14ac:dyDescent="0.3">
      <c r="A48" s="14" t="s">
        <v>81</v>
      </c>
      <c r="B48" s="9" t="s">
        <v>82</v>
      </c>
      <c r="C48" s="351"/>
      <c r="D48" s="351"/>
      <c r="E48" s="377"/>
      <c r="F48" s="373"/>
    </row>
    <row r="49" spans="1:6" s="1" customFormat="1" ht="16.5" thickBot="1" x14ac:dyDescent="0.3">
      <c r="A49" s="14" t="s">
        <v>83</v>
      </c>
      <c r="B49" s="9" t="s">
        <v>84</v>
      </c>
      <c r="C49" s="351">
        <f>C37+C41+C42+C43+C46+C47+C48</f>
        <v>0</v>
      </c>
      <c r="D49" s="351">
        <f>D37+D41+D42+D43+D46+D47+D48</f>
        <v>0</v>
      </c>
      <c r="E49" s="352">
        <f>E37+E41+E42+E43+E46+E47+E48</f>
        <v>0</v>
      </c>
      <c r="F49" s="373"/>
    </row>
    <row r="50" spans="1:6" s="1" customFormat="1" ht="32.25" thickBot="1" x14ac:dyDescent="0.3">
      <c r="A50" s="14" t="s">
        <v>85</v>
      </c>
      <c r="B50" s="11" t="s">
        <v>86</v>
      </c>
      <c r="C50" s="351">
        <f>C36+C49</f>
        <v>7170</v>
      </c>
      <c r="D50" s="351">
        <f>D36+D49</f>
        <v>7170</v>
      </c>
      <c r="E50" s="352">
        <f>E36+E49</f>
        <v>7170</v>
      </c>
      <c r="F50" s="373">
        <f>E50/D50</f>
        <v>1</v>
      </c>
    </row>
    <row r="52" spans="1:6" x14ac:dyDescent="0.25">
      <c r="A52" s="818" t="s">
        <v>88</v>
      </c>
      <c r="B52" s="818"/>
      <c r="C52" s="818"/>
    </row>
    <row r="53" spans="1:6" ht="16.5" thickBot="1" x14ac:dyDescent="0.3">
      <c r="A53" s="18" t="s">
        <v>89</v>
      </c>
      <c r="B53" s="1"/>
      <c r="C53" s="363"/>
    </row>
    <row r="54" spans="1:6" ht="32.25" thickBot="1" x14ac:dyDescent="0.3">
      <c r="A54" s="24" t="s">
        <v>4</v>
      </c>
      <c r="B54" s="9" t="s">
        <v>90</v>
      </c>
      <c r="C54" s="349" t="s">
        <v>390</v>
      </c>
      <c r="D54" s="350" t="s">
        <v>391</v>
      </c>
      <c r="E54" s="333" t="s">
        <v>392</v>
      </c>
      <c r="F54" s="327" t="s">
        <v>393</v>
      </c>
    </row>
    <row r="55" spans="1:6" ht="16.5" thickBot="1" x14ac:dyDescent="0.3">
      <c r="A55" s="14" t="s">
        <v>3</v>
      </c>
      <c r="B55" s="9" t="s">
        <v>108</v>
      </c>
      <c r="C55" s="351">
        <f>C56+C57+C58+C59+C60+C66</f>
        <v>7170</v>
      </c>
      <c r="D55" s="351">
        <f>D56+D57+D58+D59+D60+D66</f>
        <v>7170</v>
      </c>
      <c r="E55" s="352">
        <f>E56+E57+E58+E59+E60+E66</f>
        <v>7170</v>
      </c>
      <c r="F55" s="373">
        <f>E55/D55</f>
        <v>1</v>
      </c>
    </row>
    <row r="56" spans="1:6" x14ac:dyDescent="0.25">
      <c r="A56" s="21" t="s">
        <v>6</v>
      </c>
      <c r="B56" s="8" t="s">
        <v>91</v>
      </c>
      <c r="C56" s="353">
        <v>6000</v>
      </c>
      <c r="D56" s="353">
        <v>6000</v>
      </c>
      <c r="E56" s="354">
        <v>6000</v>
      </c>
      <c r="F56" s="372">
        <f t="shared" ref="F56:F57" si="0">E56/D56</f>
        <v>1</v>
      </c>
    </row>
    <row r="57" spans="1:6" x14ac:dyDescent="0.25">
      <c r="A57" s="22" t="s">
        <v>7</v>
      </c>
      <c r="B57" s="4" t="s">
        <v>92</v>
      </c>
      <c r="C57" s="355">
        <v>1170</v>
      </c>
      <c r="D57" s="355">
        <v>1170</v>
      </c>
      <c r="E57" s="354">
        <v>1170</v>
      </c>
      <c r="F57" s="356">
        <f t="shared" si="0"/>
        <v>1</v>
      </c>
    </row>
    <row r="58" spans="1:6" x14ac:dyDescent="0.25">
      <c r="A58" s="22" t="s">
        <v>8</v>
      </c>
      <c r="B58" s="4" t="s">
        <v>93</v>
      </c>
      <c r="C58" s="355"/>
      <c r="D58" s="355"/>
      <c r="E58" s="354"/>
      <c r="F58" s="356"/>
    </row>
    <row r="59" spans="1:6" x14ac:dyDescent="0.25">
      <c r="A59" s="22" t="s">
        <v>9</v>
      </c>
      <c r="B59" s="4" t="s">
        <v>94</v>
      </c>
      <c r="C59" s="355"/>
      <c r="D59" s="355"/>
      <c r="E59" s="354"/>
      <c r="F59" s="356"/>
    </row>
    <row r="60" spans="1:6" x14ac:dyDescent="0.25">
      <c r="A60" s="22" t="s">
        <v>10</v>
      </c>
      <c r="B60" s="4" t="s">
        <v>95</v>
      </c>
      <c r="C60" s="355"/>
      <c r="D60" s="355"/>
      <c r="E60" s="354"/>
      <c r="F60" s="356"/>
    </row>
    <row r="61" spans="1:6" x14ac:dyDescent="0.25">
      <c r="A61" s="22" t="s">
        <v>11</v>
      </c>
      <c r="B61" s="23" t="s">
        <v>96</v>
      </c>
      <c r="C61" s="355"/>
      <c r="D61" s="355"/>
      <c r="E61" s="354"/>
      <c r="F61" s="356"/>
    </row>
    <row r="62" spans="1:6" x14ac:dyDescent="0.25">
      <c r="A62" s="22" t="s">
        <v>97</v>
      </c>
      <c r="B62" s="4" t="s">
        <v>103</v>
      </c>
      <c r="C62" s="355"/>
      <c r="D62" s="355"/>
      <c r="E62" s="354"/>
      <c r="F62" s="356"/>
    </row>
    <row r="63" spans="1:6" x14ac:dyDescent="0.25">
      <c r="A63" s="22" t="s">
        <v>98</v>
      </c>
      <c r="B63" s="4" t="s">
        <v>138</v>
      </c>
      <c r="C63" s="355"/>
      <c r="D63" s="355"/>
      <c r="E63" s="354"/>
      <c r="F63" s="356"/>
    </row>
    <row r="64" spans="1:6" x14ac:dyDescent="0.25">
      <c r="A64" s="22" t="s">
        <v>99</v>
      </c>
      <c r="B64" s="4" t="s">
        <v>139</v>
      </c>
      <c r="C64" s="355"/>
      <c r="D64" s="355"/>
      <c r="E64" s="354"/>
      <c r="F64" s="356"/>
    </row>
    <row r="65" spans="1:6" x14ac:dyDescent="0.25">
      <c r="A65" s="22" t="s">
        <v>100</v>
      </c>
      <c r="B65" s="4" t="s">
        <v>140</v>
      </c>
      <c r="C65" s="355"/>
      <c r="D65" s="355"/>
      <c r="E65" s="354"/>
      <c r="F65" s="356"/>
    </row>
    <row r="66" spans="1:6" x14ac:dyDescent="0.25">
      <c r="A66" s="22" t="s">
        <v>101</v>
      </c>
      <c r="B66" s="4" t="s">
        <v>102</v>
      </c>
      <c r="C66" s="355"/>
      <c r="D66" s="355"/>
      <c r="E66" s="354"/>
      <c r="F66" s="356"/>
    </row>
    <row r="67" spans="1:6" x14ac:dyDescent="0.25">
      <c r="A67" s="22" t="s">
        <v>104</v>
      </c>
      <c r="B67" s="4" t="s">
        <v>105</v>
      </c>
      <c r="C67" s="355"/>
      <c r="D67" s="355"/>
      <c r="E67" s="354"/>
      <c r="F67" s="356"/>
    </row>
    <row r="68" spans="1:6" ht="16.5" thickBot="1" x14ac:dyDescent="0.3">
      <c r="A68" s="25" t="s">
        <v>106</v>
      </c>
      <c r="B68" s="10" t="s">
        <v>107</v>
      </c>
      <c r="C68" s="357"/>
      <c r="D68" s="357"/>
      <c r="E68" s="354"/>
      <c r="F68" s="374"/>
    </row>
    <row r="69" spans="1:6" ht="16.5" thickBot="1" x14ac:dyDescent="0.3">
      <c r="A69" s="14" t="s">
        <v>5</v>
      </c>
      <c r="B69" s="9" t="s">
        <v>121</v>
      </c>
      <c r="C69" s="351">
        <f>C70+C72+C74</f>
        <v>0</v>
      </c>
      <c r="D69" s="351">
        <f>D70+D72+D74</f>
        <v>0</v>
      </c>
      <c r="E69" s="351">
        <f>E70+E72+E74</f>
        <v>0</v>
      </c>
      <c r="F69" s="379"/>
    </row>
    <row r="70" spans="1:6" x14ac:dyDescent="0.25">
      <c r="A70" s="21" t="s">
        <v>12</v>
      </c>
      <c r="B70" s="8" t="s">
        <v>109</v>
      </c>
      <c r="C70" s="353"/>
      <c r="D70" s="353"/>
      <c r="E70" s="354"/>
      <c r="F70" s="372"/>
    </row>
    <row r="71" spans="1:6" x14ac:dyDescent="0.25">
      <c r="A71" s="22" t="s">
        <v>110</v>
      </c>
      <c r="B71" s="4" t="s">
        <v>111</v>
      </c>
      <c r="C71" s="355"/>
      <c r="D71" s="355"/>
      <c r="E71" s="354"/>
      <c r="F71" s="356"/>
    </row>
    <row r="72" spans="1:6" x14ac:dyDescent="0.25">
      <c r="A72" s="22" t="s">
        <v>14</v>
      </c>
      <c r="B72" s="4" t="s">
        <v>112</v>
      </c>
      <c r="C72" s="355"/>
      <c r="D72" s="355"/>
      <c r="E72" s="354"/>
      <c r="F72" s="356"/>
    </row>
    <row r="73" spans="1:6" x14ac:dyDescent="0.25">
      <c r="A73" s="22" t="s">
        <v>113</v>
      </c>
      <c r="B73" s="4" t="s">
        <v>114</v>
      </c>
      <c r="C73" s="355"/>
      <c r="D73" s="355"/>
      <c r="E73" s="354"/>
      <c r="F73" s="356"/>
    </row>
    <row r="74" spans="1:6" x14ac:dyDescent="0.25">
      <c r="A74" s="22" t="s">
        <v>115</v>
      </c>
      <c r="B74" s="4" t="s">
        <v>116</v>
      </c>
      <c r="C74" s="355"/>
      <c r="D74" s="355"/>
      <c r="E74" s="354"/>
      <c r="F74" s="356"/>
    </row>
    <row r="75" spans="1:6" x14ac:dyDescent="0.25">
      <c r="A75" s="22" t="s">
        <v>117</v>
      </c>
      <c r="B75" s="4" t="s">
        <v>118</v>
      </c>
      <c r="C75" s="355"/>
      <c r="D75" s="355"/>
      <c r="E75" s="354"/>
      <c r="F75" s="356"/>
    </row>
    <row r="76" spans="1:6" ht="16.5" thickBot="1" x14ac:dyDescent="0.3">
      <c r="A76" s="25" t="s">
        <v>119</v>
      </c>
      <c r="B76" s="10" t="s">
        <v>120</v>
      </c>
      <c r="C76" s="357"/>
      <c r="D76" s="357"/>
      <c r="E76" s="354"/>
      <c r="F76" s="374"/>
    </row>
    <row r="77" spans="1:6" ht="16.5" thickBot="1" x14ac:dyDescent="0.3">
      <c r="A77" s="14" t="s">
        <v>15</v>
      </c>
      <c r="B77" s="9" t="s">
        <v>122</v>
      </c>
      <c r="C77" s="351">
        <f>C55+C69</f>
        <v>7170</v>
      </c>
      <c r="D77" s="351">
        <f>D55+D69</f>
        <v>7170</v>
      </c>
      <c r="E77" s="351">
        <f>E55+E69</f>
        <v>7170</v>
      </c>
      <c r="F77" s="373">
        <f>E77/D77</f>
        <v>1</v>
      </c>
    </row>
    <row r="78" spans="1:6" ht="16.5" thickBot="1" x14ac:dyDescent="0.3">
      <c r="A78" s="14" t="s">
        <v>20</v>
      </c>
      <c r="B78" s="9" t="s">
        <v>126</v>
      </c>
      <c r="C78" s="351">
        <f>SUM(C79:C81)</f>
        <v>0</v>
      </c>
      <c r="D78" s="351">
        <f>SUM(D79:D81)</f>
        <v>0</v>
      </c>
      <c r="E78" s="351">
        <f>SUM(E79:E81)</f>
        <v>0</v>
      </c>
      <c r="F78" s="379"/>
    </row>
    <row r="79" spans="1:6" x14ac:dyDescent="0.25">
      <c r="A79" s="21" t="s">
        <v>22</v>
      </c>
      <c r="B79" s="8" t="s">
        <v>123</v>
      </c>
      <c r="C79" s="353"/>
      <c r="D79" s="353"/>
      <c r="E79" s="354"/>
      <c r="F79" s="372"/>
    </row>
    <row r="80" spans="1:6" x14ac:dyDescent="0.25">
      <c r="A80" s="22" t="s">
        <v>26</v>
      </c>
      <c r="B80" s="4" t="s">
        <v>124</v>
      </c>
      <c r="C80" s="355"/>
      <c r="D80" s="355"/>
      <c r="E80" s="354"/>
      <c r="F80" s="356"/>
    </row>
    <row r="81" spans="1:6" ht="16.5" thickBot="1" x14ac:dyDescent="0.3">
      <c r="A81" s="25" t="s">
        <v>27</v>
      </c>
      <c r="B81" s="10" t="s">
        <v>125</v>
      </c>
      <c r="C81" s="357"/>
      <c r="D81" s="357"/>
      <c r="E81" s="375"/>
      <c r="F81" s="374"/>
    </row>
    <row r="82" spans="1:6" ht="16.5" thickBot="1" x14ac:dyDescent="0.3">
      <c r="A82" s="28" t="s">
        <v>29</v>
      </c>
      <c r="B82" s="29" t="s">
        <v>127</v>
      </c>
      <c r="C82" s="364"/>
      <c r="D82" s="364"/>
      <c r="E82" s="380"/>
      <c r="F82" s="379"/>
    </row>
    <row r="83" spans="1:6" ht="16.5" thickBot="1" x14ac:dyDescent="0.3">
      <c r="A83" s="14" t="s">
        <v>52</v>
      </c>
      <c r="B83" s="9" t="s">
        <v>130</v>
      </c>
      <c r="C83" s="351">
        <f>C84</f>
        <v>0</v>
      </c>
      <c r="D83" s="351">
        <f>D84</f>
        <v>0</v>
      </c>
      <c r="E83" s="351">
        <f>E84</f>
        <v>0</v>
      </c>
      <c r="F83" s="379"/>
    </row>
    <row r="84" spans="1:6" ht="16.5" thickBot="1" x14ac:dyDescent="0.3">
      <c r="A84" s="26" t="s">
        <v>128</v>
      </c>
      <c r="B84" s="27" t="s">
        <v>129</v>
      </c>
      <c r="C84" s="365"/>
      <c r="D84" s="365"/>
      <c r="E84" s="375"/>
      <c r="F84" s="381"/>
    </row>
    <row r="85" spans="1:6" ht="16.5" thickBot="1" x14ac:dyDescent="0.3">
      <c r="A85" s="14" t="s">
        <v>54</v>
      </c>
      <c r="B85" s="9" t="s">
        <v>131</v>
      </c>
      <c r="C85" s="351"/>
      <c r="D85" s="351"/>
      <c r="E85" s="380"/>
      <c r="F85" s="379"/>
    </row>
    <row r="86" spans="1:6" ht="16.5" thickBot="1" x14ac:dyDescent="0.3">
      <c r="A86" s="14" t="s">
        <v>56</v>
      </c>
      <c r="B86" s="9" t="s">
        <v>132</v>
      </c>
      <c r="C86" s="351"/>
      <c r="D86" s="351"/>
      <c r="E86" s="380"/>
      <c r="F86" s="379"/>
    </row>
    <row r="87" spans="1:6" ht="16.5" thickBot="1" x14ac:dyDescent="0.3">
      <c r="A87" s="14" t="s">
        <v>133</v>
      </c>
      <c r="B87" s="9" t="s">
        <v>134</v>
      </c>
      <c r="C87" s="351"/>
      <c r="D87" s="351"/>
      <c r="E87" s="380"/>
      <c r="F87" s="379"/>
    </row>
    <row r="88" spans="1:6" ht="16.5" thickBot="1" x14ac:dyDescent="0.3">
      <c r="A88" s="14" t="s">
        <v>59</v>
      </c>
      <c r="B88" s="9" t="s">
        <v>135</v>
      </c>
      <c r="C88" s="351">
        <f>C78+C82+C83+C85+C86+C87</f>
        <v>0</v>
      </c>
      <c r="D88" s="351">
        <f>D78+D82+D83+D85+D86+D87</f>
        <v>0</v>
      </c>
      <c r="E88" s="351">
        <f>E78+E82+E83+E85+E86+E87</f>
        <v>0</v>
      </c>
      <c r="F88" s="379"/>
    </row>
    <row r="89" spans="1:6" ht="16.5" thickBot="1" x14ac:dyDescent="0.3">
      <c r="A89" s="14" t="s">
        <v>67</v>
      </c>
      <c r="B89" s="9" t="s">
        <v>136</v>
      </c>
      <c r="C89" s="351">
        <f>C77+C88</f>
        <v>7170</v>
      </c>
      <c r="D89" s="351">
        <f>D77+D88</f>
        <v>7170</v>
      </c>
      <c r="E89" s="351">
        <f>E77+E88</f>
        <v>7170</v>
      </c>
      <c r="F89" s="373">
        <f>E89/D89</f>
        <v>1</v>
      </c>
    </row>
    <row r="91" spans="1:6" s="30" customFormat="1" ht="29.25" customHeight="1" x14ac:dyDescent="0.25">
      <c r="A91" s="823" t="s">
        <v>141</v>
      </c>
      <c r="B91" s="823"/>
      <c r="C91" s="823"/>
      <c r="D91" s="366"/>
      <c r="E91" s="367"/>
      <c r="F91" s="368"/>
    </row>
    <row r="92" spans="1:6" ht="16.5" thickBot="1" x14ac:dyDescent="0.3">
      <c r="A92" s="18" t="s">
        <v>142</v>
      </c>
      <c r="B92" s="1"/>
      <c r="C92" s="346"/>
    </row>
    <row r="93" spans="1:6" ht="32.25" thickBot="1" x14ac:dyDescent="0.3">
      <c r="A93" s="14" t="s">
        <v>3</v>
      </c>
      <c r="B93" s="11" t="s">
        <v>143</v>
      </c>
      <c r="C93" s="351">
        <f>C36-C77</f>
        <v>0</v>
      </c>
      <c r="D93" s="369">
        <f>D36-D77</f>
        <v>0</v>
      </c>
      <c r="E93" s="383">
        <f>E36-E77</f>
        <v>0</v>
      </c>
      <c r="F93" s="382"/>
    </row>
    <row r="94" spans="1:6" ht="32.25" thickBot="1" x14ac:dyDescent="0.3">
      <c r="A94" s="14" t="s">
        <v>5</v>
      </c>
      <c r="B94" s="11" t="s">
        <v>144</v>
      </c>
      <c r="C94" s="351">
        <f>C49-C88</f>
        <v>0</v>
      </c>
      <c r="D94" s="369">
        <f>D49-D88</f>
        <v>0</v>
      </c>
      <c r="E94" s="383">
        <f>E49-E88</f>
        <v>0</v>
      </c>
      <c r="F94" s="382"/>
    </row>
  </sheetData>
  <mergeCells count="7">
    <mergeCell ref="A91:C91"/>
    <mergeCell ref="A52:C52"/>
    <mergeCell ref="A2:D2"/>
    <mergeCell ref="A1:F1"/>
    <mergeCell ref="A3:F3"/>
    <mergeCell ref="A5:F5"/>
    <mergeCell ref="A4:G4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4"/>
  <sheetViews>
    <sheetView workbookViewId="0">
      <selection activeCell="A2" sqref="A2:K2"/>
    </sheetView>
  </sheetViews>
  <sheetFormatPr defaultRowHeight="15.75" x14ac:dyDescent="0.25"/>
  <cols>
    <col min="1" max="1" width="5.7109375" style="13" customWidth="1"/>
    <col min="2" max="2" width="57.5703125" style="2" bestFit="1" customWidth="1"/>
    <col min="3" max="6" width="14.7109375" style="118" customWidth="1"/>
    <col min="7" max="7" width="53.85546875" style="2" bestFit="1" customWidth="1"/>
    <col min="8" max="8" width="14.7109375" style="118" customWidth="1"/>
    <col min="9" max="9" width="14.5703125" style="2" customWidth="1"/>
    <col min="10" max="10" width="12.42578125" style="156" bestFit="1" customWidth="1"/>
    <col min="11" max="11" width="9.5703125" style="2" bestFit="1" customWidth="1"/>
    <col min="12" max="16384" width="9.140625" style="2"/>
  </cols>
  <sheetData>
    <row r="1" spans="1:11" x14ac:dyDescent="0.25">
      <c r="B1" s="825" t="s">
        <v>1018</v>
      </c>
      <c r="C1" s="825"/>
      <c r="D1" s="825"/>
      <c r="E1" s="825"/>
      <c r="F1" s="825"/>
      <c r="G1" s="825"/>
      <c r="H1" s="825"/>
      <c r="I1" s="825"/>
    </row>
    <row r="2" spans="1:11" ht="54.75" customHeight="1" x14ac:dyDescent="0.25">
      <c r="A2" s="826" t="s">
        <v>517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</row>
    <row r="3" spans="1:11" x14ac:dyDescent="0.25">
      <c r="A3" s="826" t="s">
        <v>545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</row>
    <row r="4" spans="1:11" x14ac:dyDescent="0.25">
      <c r="A4" s="827" t="s">
        <v>145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</row>
    <row r="5" spans="1:11" ht="16.5" thickBot="1" x14ac:dyDescent="0.3">
      <c r="A5" s="825" t="s">
        <v>343</v>
      </c>
      <c r="B5" s="825"/>
      <c r="C5" s="825"/>
      <c r="D5" s="825"/>
      <c r="E5" s="825"/>
      <c r="F5" s="825"/>
      <c r="G5" s="825"/>
      <c r="H5" s="825"/>
      <c r="I5" s="825"/>
      <c r="J5" s="825"/>
      <c r="K5" s="825"/>
    </row>
    <row r="6" spans="1:11" s="30" customFormat="1" ht="32.25" thickBot="1" x14ac:dyDescent="0.3">
      <c r="A6" s="39" t="s">
        <v>4</v>
      </c>
      <c r="B6" s="6" t="s">
        <v>146</v>
      </c>
      <c r="C6" s="198" t="s">
        <v>390</v>
      </c>
      <c r="D6" s="199" t="s">
        <v>391</v>
      </c>
      <c r="E6" s="100" t="s">
        <v>397</v>
      </c>
      <c r="F6" s="246" t="s">
        <v>393</v>
      </c>
      <c r="G6" s="6" t="s">
        <v>147</v>
      </c>
      <c r="H6" s="198" t="s">
        <v>390</v>
      </c>
      <c r="I6" s="243" t="s">
        <v>391</v>
      </c>
      <c r="J6" s="333" t="s">
        <v>397</v>
      </c>
      <c r="K6" s="473" t="s">
        <v>393</v>
      </c>
    </row>
    <row r="7" spans="1:11" s="13" customFormat="1" ht="16.5" thickBot="1" x14ac:dyDescent="0.3">
      <c r="A7" s="33" t="s">
        <v>148</v>
      </c>
      <c r="B7" s="34" t="s">
        <v>171</v>
      </c>
      <c r="C7" s="119" t="s">
        <v>149</v>
      </c>
      <c r="D7" s="119" t="s">
        <v>150</v>
      </c>
      <c r="E7" s="119" t="s">
        <v>151</v>
      </c>
      <c r="F7" s="119" t="s">
        <v>188</v>
      </c>
      <c r="G7" s="34" t="s">
        <v>194</v>
      </c>
      <c r="H7" s="201" t="s">
        <v>195</v>
      </c>
      <c r="I7" s="255" t="s">
        <v>196</v>
      </c>
      <c r="J7" s="474" t="s">
        <v>197</v>
      </c>
      <c r="K7" s="475" t="s">
        <v>269</v>
      </c>
    </row>
    <row r="8" spans="1:11" x14ac:dyDescent="0.25">
      <c r="A8" s="32" t="s">
        <v>3</v>
      </c>
      <c r="B8" s="8" t="s">
        <v>152</v>
      </c>
      <c r="C8" s="153">
        <v>299157.57900000003</v>
      </c>
      <c r="D8" s="153">
        <v>333402.36300000001</v>
      </c>
      <c r="E8" s="153">
        <v>333402.36300000001</v>
      </c>
      <c r="F8" s="328">
        <f>E8/D8</f>
        <v>1</v>
      </c>
      <c r="G8" s="8" t="s">
        <v>91</v>
      </c>
      <c r="H8" s="192">
        <v>351579</v>
      </c>
      <c r="I8" s="192">
        <v>386649.886</v>
      </c>
      <c r="J8" s="153">
        <v>352239.31099999999</v>
      </c>
      <c r="K8" s="328">
        <f>J8/I8</f>
        <v>0.91100327131610737</v>
      </c>
    </row>
    <row r="9" spans="1:11" x14ac:dyDescent="0.25">
      <c r="A9" s="31" t="s">
        <v>5</v>
      </c>
      <c r="B9" s="4" t="s">
        <v>153</v>
      </c>
      <c r="C9" s="154">
        <v>148870</v>
      </c>
      <c r="D9" s="154">
        <v>181692.71799999999</v>
      </c>
      <c r="E9" s="154">
        <v>173175.967</v>
      </c>
      <c r="F9" s="328">
        <f t="shared" ref="F9:F13" si="0">E9/D9</f>
        <v>0.95312552372076909</v>
      </c>
      <c r="G9" s="4" t="s">
        <v>154</v>
      </c>
      <c r="H9" s="193">
        <v>62543.8</v>
      </c>
      <c r="I9" s="193">
        <v>70354.229000000007</v>
      </c>
      <c r="J9" s="154">
        <v>62803.442999999999</v>
      </c>
      <c r="K9" s="328">
        <f t="shared" ref="K9:K13" si="1">J9/I9</f>
        <v>0.89267473885613891</v>
      </c>
    </row>
    <row r="10" spans="1:11" x14ac:dyDescent="0.25">
      <c r="A10" s="31" t="s">
        <v>15</v>
      </c>
      <c r="B10" s="4" t="s">
        <v>156</v>
      </c>
      <c r="C10" s="154">
        <v>42772</v>
      </c>
      <c r="D10" s="154">
        <v>40780.508000000002</v>
      </c>
      <c r="E10" s="154">
        <v>55253.368000000002</v>
      </c>
      <c r="F10" s="328">
        <f t="shared" si="0"/>
        <v>1.3548965108526849</v>
      </c>
      <c r="G10" s="4" t="s">
        <v>157</v>
      </c>
      <c r="H10" s="193">
        <v>257135.7</v>
      </c>
      <c r="I10" s="193">
        <v>297994.76699999999</v>
      </c>
      <c r="J10" s="154">
        <v>230176.66899999999</v>
      </c>
      <c r="K10" s="328">
        <f t="shared" si="1"/>
        <v>0.77241849350998837</v>
      </c>
    </row>
    <row r="11" spans="1:11" x14ac:dyDescent="0.25">
      <c r="A11" s="31" t="s">
        <v>20</v>
      </c>
      <c r="B11" s="4" t="s">
        <v>158</v>
      </c>
      <c r="C11" s="154">
        <v>102821</v>
      </c>
      <c r="D11" s="154">
        <v>114533.88800000001</v>
      </c>
      <c r="E11" s="154">
        <v>114533.38</v>
      </c>
      <c r="F11" s="328">
        <f t="shared" si="0"/>
        <v>0.99999556463149142</v>
      </c>
      <c r="G11" s="4" t="s">
        <v>271</v>
      </c>
      <c r="H11" s="193">
        <v>5400</v>
      </c>
      <c r="I11" s="193">
        <v>12403.72</v>
      </c>
      <c r="J11" s="154">
        <v>9987.6949999999997</v>
      </c>
      <c r="K11" s="328">
        <f t="shared" si="1"/>
        <v>0.80521770888088418</v>
      </c>
    </row>
    <row r="12" spans="1:11" x14ac:dyDescent="0.25">
      <c r="A12" s="31" t="s">
        <v>29</v>
      </c>
      <c r="B12" s="4" t="s">
        <v>159</v>
      </c>
      <c r="C12" s="154">
        <v>61573.3</v>
      </c>
      <c r="D12" s="154">
        <v>69495.903999999995</v>
      </c>
      <c r="E12" s="154">
        <v>69031.592000000004</v>
      </c>
      <c r="F12" s="328">
        <f t="shared" si="0"/>
        <v>0.99331885804377784</v>
      </c>
      <c r="G12" s="4" t="s">
        <v>95</v>
      </c>
      <c r="H12" s="193">
        <v>34490.1</v>
      </c>
      <c r="I12" s="193">
        <v>33168.845000000001</v>
      </c>
      <c r="J12" s="154">
        <v>32839.85</v>
      </c>
      <c r="K12" s="328">
        <f t="shared" si="1"/>
        <v>0.9900812042143764</v>
      </c>
    </row>
    <row r="13" spans="1:11" x14ac:dyDescent="0.25">
      <c r="A13" s="31" t="s">
        <v>52</v>
      </c>
      <c r="B13" s="4" t="s">
        <v>160</v>
      </c>
      <c r="C13" s="154">
        <v>210</v>
      </c>
      <c r="D13" s="154">
        <v>258</v>
      </c>
      <c r="E13" s="154">
        <v>258</v>
      </c>
      <c r="F13" s="321">
        <f t="shared" si="0"/>
        <v>1</v>
      </c>
      <c r="G13" s="4" t="s">
        <v>102</v>
      </c>
      <c r="H13" s="193">
        <v>22277.298999999999</v>
      </c>
      <c r="I13" s="193">
        <v>71838.956000000006</v>
      </c>
      <c r="J13" s="154"/>
      <c r="K13" s="328">
        <f t="shared" si="1"/>
        <v>0</v>
      </c>
    </row>
    <row r="14" spans="1:11" ht="16.5" thickBot="1" x14ac:dyDescent="0.3">
      <c r="A14" s="35" t="s">
        <v>54</v>
      </c>
      <c r="B14" s="10" t="s">
        <v>161</v>
      </c>
      <c r="C14" s="155"/>
      <c r="D14" s="155"/>
      <c r="E14" s="155"/>
      <c r="F14" s="331"/>
      <c r="G14" s="10"/>
      <c r="H14" s="194"/>
      <c r="I14" s="193"/>
      <c r="J14" s="154"/>
      <c r="K14" s="331"/>
    </row>
    <row r="15" spans="1:11" ht="16.5" thickBot="1" x14ac:dyDescent="0.3">
      <c r="A15" s="33" t="s">
        <v>56</v>
      </c>
      <c r="B15" s="9" t="s">
        <v>162</v>
      </c>
      <c r="C15" s="157">
        <f>C8+C9+C11+C12+C13</f>
        <v>612631.87900000007</v>
      </c>
      <c r="D15" s="157">
        <f>D8+D9+D11+D12+D13</f>
        <v>699382.87300000002</v>
      </c>
      <c r="E15" s="157">
        <f>E8+E9+E11+E12+E13</f>
        <v>690401.30199999991</v>
      </c>
      <c r="F15" s="488">
        <f>E15/D15</f>
        <v>0.98715786252889826</v>
      </c>
      <c r="G15" s="9" t="s">
        <v>163</v>
      </c>
      <c r="H15" s="191">
        <f>SUM(H8:H14)</f>
        <v>733425.89899999998</v>
      </c>
      <c r="I15" s="200">
        <f>SUM(I8:I14)</f>
        <v>872410.40299999993</v>
      </c>
      <c r="J15" s="200">
        <f>SUM(J8:J14)</f>
        <v>688046.96799999988</v>
      </c>
      <c r="K15" s="329">
        <f>J15/I15</f>
        <v>0.78867350232640443</v>
      </c>
    </row>
    <row r="16" spans="1:11" x14ac:dyDescent="0.25">
      <c r="A16" s="178" t="s">
        <v>58</v>
      </c>
      <c r="B16" s="114" t="s">
        <v>166</v>
      </c>
      <c r="C16" s="179">
        <f>C17</f>
        <v>131721.753</v>
      </c>
      <c r="D16" s="179">
        <f>D17+D18</f>
        <v>146711.81900000002</v>
      </c>
      <c r="E16" s="179">
        <f>E17+E18</f>
        <v>146711.81900000002</v>
      </c>
      <c r="F16" s="326">
        <f>E16/D16</f>
        <v>1</v>
      </c>
      <c r="G16" s="8" t="s">
        <v>170</v>
      </c>
      <c r="H16" s="192"/>
      <c r="I16" s="193"/>
      <c r="J16" s="154"/>
      <c r="K16" s="328"/>
    </row>
    <row r="17" spans="1:11" x14ac:dyDescent="0.25">
      <c r="A17" s="31" t="s">
        <v>59</v>
      </c>
      <c r="B17" s="4" t="s">
        <v>164</v>
      </c>
      <c r="C17" s="154">
        <v>131721.753</v>
      </c>
      <c r="D17" s="154">
        <v>136680.49600000001</v>
      </c>
      <c r="E17" s="154">
        <v>136680.49600000001</v>
      </c>
      <c r="F17" s="321">
        <f>E17/D17</f>
        <v>1</v>
      </c>
      <c r="G17" s="4" t="s">
        <v>129</v>
      </c>
      <c r="H17" s="193">
        <v>10927.733</v>
      </c>
      <c r="I17" s="193">
        <v>10927.733</v>
      </c>
      <c r="J17" s="154">
        <v>10927.733</v>
      </c>
      <c r="K17" s="321">
        <f>J17/I17</f>
        <v>1</v>
      </c>
    </row>
    <row r="18" spans="1:11" x14ac:dyDescent="0.25">
      <c r="A18" s="31" t="s">
        <v>67</v>
      </c>
      <c r="B18" s="4" t="s">
        <v>74</v>
      </c>
      <c r="C18" s="154"/>
      <c r="D18" s="154">
        <v>10031.323</v>
      </c>
      <c r="E18" s="154">
        <v>10031.323</v>
      </c>
      <c r="F18" s="321"/>
      <c r="G18" s="4"/>
      <c r="H18" s="193"/>
      <c r="I18" s="193"/>
      <c r="J18" s="154"/>
      <c r="K18" s="321"/>
    </row>
    <row r="19" spans="1:11" x14ac:dyDescent="0.25">
      <c r="A19" s="31" t="s">
        <v>69</v>
      </c>
      <c r="B19" s="4" t="s">
        <v>167</v>
      </c>
      <c r="C19" s="154"/>
      <c r="D19" s="154">
        <f>D20</f>
        <v>37243.444000000003</v>
      </c>
      <c r="E19" s="154">
        <f>E20</f>
        <v>37243.444000000003</v>
      </c>
      <c r="F19" s="321"/>
      <c r="G19" s="4"/>
      <c r="H19" s="193"/>
      <c r="I19" s="193"/>
      <c r="J19" s="154"/>
      <c r="K19" s="321"/>
    </row>
    <row r="20" spans="1:11" ht="16.5" thickBot="1" x14ac:dyDescent="0.3">
      <c r="A20" s="35" t="s">
        <v>71</v>
      </c>
      <c r="B20" s="10" t="s">
        <v>165</v>
      </c>
      <c r="C20" s="155"/>
      <c r="D20" s="155">
        <v>37243.444000000003</v>
      </c>
      <c r="E20" s="155">
        <v>37243.444000000003</v>
      </c>
      <c r="F20" s="331"/>
      <c r="G20" s="10"/>
      <c r="H20" s="194"/>
      <c r="I20" s="193"/>
      <c r="J20" s="154"/>
      <c r="K20" s="331"/>
    </row>
    <row r="21" spans="1:11" ht="16.5" thickBot="1" x14ac:dyDescent="0.3">
      <c r="A21" s="33" t="s">
        <v>77</v>
      </c>
      <c r="B21" s="9" t="s">
        <v>168</v>
      </c>
      <c r="C21" s="157">
        <f>C16+C19</f>
        <v>131721.753</v>
      </c>
      <c r="D21" s="157">
        <f>D16+D19</f>
        <v>183955.26300000004</v>
      </c>
      <c r="E21" s="157">
        <f>E16+E19</f>
        <v>183955.26300000004</v>
      </c>
      <c r="F21" s="488">
        <f>E21/D21</f>
        <v>1</v>
      </c>
      <c r="G21" s="9" t="s">
        <v>319</v>
      </c>
      <c r="H21" s="191">
        <f>SUM(H16:H20)</f>
        <v>10927.733</v>
      </c>
      <c r="I21" s="200">
        <f>SUM(I16:I20)</f>
        <v>10927.733</v>
      </c>
      <c r="J21" s="200">
        <f>SUM(J16:J20)</f>
        <v>10927.733</v>
      </c>
      <c r="K21" s="329">
        <f>J21/I21</f>
        <v>1</v>
      </c>
    </row>
    <row r="22" spans="1:11" ht="16.5" thickBot="1" x14ac:dyDescent="0.3">
      <c r="A22" s="36" t="s">
        <v>79</v>
      </c>
      <c r="B22" s="37" t="s">
        <v>169</v>
      </c>
      <c r="C22" s="157">
        <f>C15+C21</f>
        <v>744353.6320000001</v>
      </c>
      <c r="D22" s="157">
        <f>D15+D21</f>
        <v>883338.13600000006</v>
      </c>
      <c r="E22" s="157">
        <f>E15+E21</f>
        <v>874356.56499999994</v>
      </c>
      <c r="F22" s="488">
        <f>E22/D22</f>
        <v>0.98983223905550921</v>
      </c>
      <c r="G22" s="9" t="s">
        <v>172</v>
      </c>
      <c r="H22" s="191">
        <f>H15+H21</f>
        <v>744353.63199999998</v>
      </c>
      <c r="I22" s="200">
        <f>I15+I21</f>
        <v>883338.13599999994</v>
      </c>
      <c r="J22" s="200">
        <f>J15+J21</f>
        <v>698974.70099999988</v>
      </c>
      <c r="K22" s="329">
        <f>J22/I22</f>
        <v>0.79128781212271804</v>
      </c>
    </row>
    <row r="23" spans="1:11" ht="16.5" thickBot="1" x14ac:dyDescent="0.3">
      <c r="A23" s="38" t="s">
        <v>155</v>
      </c>
      <c r="B23" s="37" t="s">
        <v>174</v>
      </c>
      <c r="C23" s="157">
        <f>H15-C15</f>
        <v>120794.0199999999</v>
      </c>
      <c r="D23" s="157">
        <f>I15-D15</f>
        <v>173027.52999999991</v>
      </c>
      <c r="E23" s="157"/>
      <c r="F23" s="488"/>
      <c r="G23" s="9" t="s">
        <v>173</v>
      </c>
      <c r="H23" s="191">
        <v>0</v>
      </c>
      <c r="I23" s="200">
        <v>0</v>
      </c>
      <c r="J23" s="200">
        <f>E15-J15</f>
        <v>2354.3340000000317</v>
      </c>
      <c r="K23" s="339"/>
    </row>
    <row r="24" spans="1:11" ht="16.5" thickBot="1" x14ac:dyDescent="0.3">
      <c r="A24" s="38" t="s">
        <v>83</v>
      </c>
      <c r="B24" s="37" t="s">
        <v>175</v>
      </c>
      <c r="C24" s="157">
        <f>C22-H22</f>
        <v>0</v>
      </c>
      <c r="D24" s="157">
        <f>D22-I22</f>
        <v>0</v>
      </c>
      <c r="E24" s="157"/>
      <c r="F24" s="488"/>
      <c r="G24" s="9" t="s">
        <v>176</v>
      </c>
      <c r="H24" s="191">
        <v>0</v>
      </c>
      <c r="I24" s="200">
        <v>0</v>
      </c>
      <c r="J24" s="200">
        <f>E22-J22</f>
        <v>175381.86400000006</v>
      </c>
      <c r="K24" s="339"/>
    </row>
  </sheetData>
  <mergeCells count="5">
    <mergeCell ref="B1:I1"/>
    <mergeCell ref="A3:K3"/>
    <mergeCell ref="A2:K2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workbookViewId="0">
      <selection activeCell="A2" sqref="A2:K2"/>
    </sheetView>
  </sheetViews>
  <sheetFormatPr defaultRowHeight="15" x14ac:dyDescent="0.25"/>
  <cols>
    <col min="1" max="1" width="5.7109375" style="447" customWidth="1"/>
    <col min="2" max="2" width="60.28515625" style="360" bestFit="1" customWidth="1"/>
    <col min="3" max="5" width="14.7109375" style="466" customWidth="1"/>
    <col min="6" max="6" width="9.42578125" style="466" bestFit="1" customWidth="1"/>
    <col min="7" max="7" width="62.5703125" style="360" bestFit="1" customWidth="1"/>
    <col min="8" max="8" width="14.7109375" style="466" customWidth="1"/>
    <col min="9" max="9" width="12.5703125" style="360" customWidth="1"/>
    <col min="10" max="10" width="12.42578125" style="370" bestFit="1" customWidth="1"/>
    <col min="11" max="16384" width="9.140625" style="360"/>
  </cols>
  <sheetData>
    <row r="1" spans="1:11" x14ac:dyDescent="0.25">
      <c r="B1" s="829" t="s">
        <v>1019</v>
      </c>
      <c r="C1" s="829"/>
      <c r="D1" s="829"/>
      <c r="E1" s="829"/>
      <c r="F1" s="829"/>
      <c r="G1" s="829"/>
      <c r="H1" s="829"/>
      <c r="I1" s="829"/>
      <c r="J1" s="829"/>
      <c r="K1" s="829"/>
    </row>
    <row r="2" spans="1:11" ht="60" customHeight="1" x14ac:dyDescent="0.25">
      <c r="A2" s="828" t="s">
        <v>518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</row>
    <row r="3" spans="1:11" ht="15.75" x14ac:dyDescent="0.25">
      <c r="A3" s="826" t="s">
        <v>545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</row>
    <row r="4" spans="1:11" x14ac:dyDescent="0.25">
      <c r="A4" s="830" t="s">
        <v>145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</row>
    <row r="5" spans="1:11" ht="15.75" thickBot="1" x14ac:dyDescent="0.3">
      <c r="A5" s="831" t="s">
        <v>343</v>
      </c>
      <c r="B5" s="831"/>
      <c r="C5" s="831"/>
      <c r="D5" s="831"/>
      <c r="E5" s="831"/>
      <c r="F5" s="831"/>
      <c r="G5" s="831"/>
      <c r="H5" s="831"/>
      <c r="I5" s="831"/>
      <c r="J5" s="831"/>
      <c r="K5" s="831"/>
    </row>
    <row r="6" spans="1:11" s="366" customFormat="1" ht="29.25" thickBot="1" x14ac:dyDescent="0.3">
      <c r="A6" s="448" t="s">
        <v>4</v>
      </c>
      <c r="B6" s="396" t="s">
        <v>146</v>
      </c>
      <c r="C6" s="349" t="s">
        <v>390</v>
      </c>
      <c r="D6" s="449" t="s">
        <v>391</v>
      </c>
      <c r="E6" s="100" t="s">
        <v>397</v>
      </c>
      <c r="F6" s="246" t="s">
        <v>393</v>
      </c>
      <c r="G6" s="396" t="s">
        <v>147</v>
      </c>
      <c r="H6" s="349" t="s">
        <v>390</v>
      </c>
      <c r="I6" s="350" t="s">
        <v>391</v>
      </c>
      <c r="J6" s="333" t="s">
        <v>397</v>
      </c>
      <c r="K6" s="473" t="s">
        <v>393</v>
      </c>
    </row>
    <row r="7" spans="1:11" s="447" customFormat="1" ht="15.75" thickBot="1" x14ac:dyDescent="0.3">
      <c r="A7" s="450" t="s">
        <v>148</v>
      </c>
      <c r="B7" s="451" t="s">
        <v>171</v>
      </c>
      <c r="C7" s="452" t="s">
        <v>149</v>
      </c>
      <c r="D7" s="452" t="s">
        <v>150</v>
      </c>
      <c r="E7" s="452" t="s">
        <v>151</v>
      </c>
      <c r="F7" s="452" t="s">
        <v>188</v>
      </c>
      <c r="G7" s="451" t="s">
        <v>194</v>
      </c>
      <c r="H7" s="453" t="s">
        <v>195</v>
      </c>
      <c r="I7" s="523" t="s">
        <v>196</v>
      </c>
      <c r="J7" s="524" t="s">
        <v>197</v>
      </c>
      <c r="K7" s="523" t="s">
        <v>269</v>
      </c>
    </row>
    <row r="8" spans="1:11" x14ac:dyDescent="0.25">
      <c r="A8" s="455" t="s">
        <v>3</v>
      </c>
      <c r="B8" s="405" t="s">
        <v>177</v>
      </c>
      <c r="C8" s="421">
        <v>307909</v>
      </c>
      <c r="D8" s="421">
        <v>300726.55499999999</v>
      </c>
      <c r="E8" s="421">
        <v>208437.245</v>
      </c>
      <c r="F8" s="372">
        <f>E8/D8</f>
        <v>0.69311220287812625</v>
      </c>
      <c r="G8" s="405" t="s">
        <v>109</v>
      </c>
      <c r="H8" s="353">
        <v>622689</v>
      </c>
      <c r="I8" s="353">
        <v>611460.78399999999</v>
      </c>
      <c r="J8" s="421">
        <v>18743.154999999999</v>
      </c>
      <c r="K8" s="372">
        <f>J8/I8</f>
        <v>3.0653077826819388E-2</v>
      </c>
    </row>
    <row r="9" spans="1:11" x14ac:dyDescent="0.25">
      <c r="A9" s="456" t="s">
        <v>5</v>
      </c>
      <c r="B9" s="409" t="s">
        <v>178</v>
      </c>
      <c r="C9" s="407">
        <v>307909</v>
      </c>
      <c r="D9" s="407">
        <v>299398.55499999999</v>
      </c>
      <c r="E9" s="407">
        <v>207109.965</v>
      </c>
      <c r="F9" s="372">
        <f t="shared" ref="F9:F21" si="0">E9/D9</f>
        <v>0.6917533887229349</v>
      </c>
      <c r="G9" s="409" t="s">
        <v>374</v>
      </c>
      <c r="H9" s="355">
        <v>606222</v>
      </c>
      <c r="I9" s="355">
        <v>592127.13600000006</v>
      </c>
      <c r="J9" s="407">
        <v>0</v>
      </c>
      <c r="K9" s="356">
        <f t="shared" ref="K9:K21" si="1">J9/I9</f>
        <v>0</v>
      </c>
    </row>
    <row r="10" spans="1:11" x14ac:dyDescent="0.25">
      <c r="A10" s="456" t="s">
        <v>15</v>
      </c>
      <c r="B10" s="409" t="s">
        <v>53</v>
      </c>
      <c r="C10" s="407"/>
      <c r="D10" s="407"/>
      <c r="E10" s="407"/>
      <c r="F10" s="372"/>
      <c r="G10" s="409" t="s">
        <v>112</v>
      </c>
      <c r="H10" s="355">
        <v>22643</v>
      </c>
      <c r="I10" s="355">
        <v>27856.312000000002</v>
      </c>
      <c r="J10" s="407">
        <v>25111.499</v>
      </c>
      <c r="K10" s="356">
        <f t="shared" si="1"/>
        <v>0.90146531242183092</v>
      </c>
    </row>
    <row r="11" spans="1:11" x14ac:dyDescent="0.25">
      <c r="A11" s="456" t="s">
        <v>20</v>
      </c>
      <c r="B11" s="409" t="s">
        <v>179</v>
      </c>
      <c r="C11" s="407"/>
      <c r="D11" s="407"/>
      <c r="E11" s="407"/>
      <c r="F11" s="372"/>
      <c r="G11" s="409" t="s">
        <v>181</v>
      </c>
      <c r="H11" s="355"/>
      <c r="I11" s="355"/>
      <c r="J11" s="407"/>
      <c r="K11" s="356"/>
    </row>
    <row r="12" spans="1:11" x14ac:dyDescent="0.25">
      <c r="A12" s="456" t="s">
        <v>29</v>
      </c>
      <c r="B12" s="409" t="s">
        <v>180</v>
      </c>
      <c r="C12" s="407"/>
      <c r="D12" s="407"/>
      <c r="E12" s="407"/>
      <c r="F12" s="372"/>
      <c r="G12" s="409" t="s">
        <v>116</v>
      </c>
      <c r="H12" s="355"/>
      <c r="I12" s="355"/>
      <c r="J12" s="407"/>
      <c r="K12" s="356"/>
    </row>
    <row r="13" spans="1:11" x14ac:dyDescent="0.25">
      <c r="A13" s="456" t="s">
        <v>52</v>
      </c>
      <c r="B13" s="409" t="s">
        <v>387</v>
      </c>
      <c r="C13" s="407"/>
      <c r="D13" s="407"/>
      <c r="E13" s="407"/>
      <c r="F13" s="372"/>
      <c r="G13" s="409" t="s">
        <v>317</v>
      </c>
      <c r="H13" s="355">
        <v>3829</v>
      </c>
      <c r="I13" s="355">
        <v>4343.6189999999997</v>
      </c>
      <c r="J13" s="407"/>
      <c r="K13" s="356">
        <f t="shared" si="1"/>
        <v>0</v>
      </c>
    </row>
    <row r="14" spans="1:11" ht="15.75" thickBot="1" x14ac:dyDescent="0.3">
      <c r="A14" s="457" t="s">
        <v>54</v>
      </c>
      <c r="B14" s="413" t="s">
        <v>372</v>
      </c>
      <c r="C14" s="414">
        <v>15000</v>
      </c>
      <c r="D14" s="414">
        <v>15000</v>
      </c>
      <c r="E14" s="414">
        <v>15000</v>
      </c>
      <c r="F14" s="381">
        <f t="shared" si="0"/>
        <v>1</v>
      </c>
      <c r="G14" s="413"/>
      <c r="H14" s="357"/>
      <c r="I14" s="355"/>
      <c r="J14" s="407"/>
      <c r="K14" s="374"/>
    </row>
    <row r="15" spans="1:11" ht="15.75" thickBot="1" x14ac:dyDescent="0.3">
      <c r="A15" s="450" t="s">
        <v>56</v>
      </c>
      <c r="B15" s="402" t="s">
        <v>182</v>
      </c>
      <c r="C15" s="458">
        <f>C8+C10+C13+C14</f>
        <v>322909</v>
      </c>
      <c r="D15" s="458">
        <f>D8+D10+D13+D14+D11</f>
        <v>315726.55499999999</v>
      </c>
      <c r="E15" s="351">
        <f>E8+E10+E13+E14+E11</f>
        <v>223437.245</v>
      </c>
      <c r="F15" s="373">
        <f t="shared" si="0"/>
        <v>0.70769227821207503</v>
      </c>
      <c r="G15" s="467" t="s">
        <v>318</v>
      </c>
      <c r="H15" s="351">
        <f>H8+H10+H12+H13</f>
        <v>649161</v>
      </c>
      <c r="I15" s="369">
        <f>I8+I10+I12+I13</f>
        <v>643660.71499999997</v>
      </c>
      <c r="J15" s="369">
        <f>J8+J10+J12+J13</f>
        <v>43854.653999999995</v>
      </c>
      <c r="K15" s="373">
        <f t="shared" si="1"/>
        <v>6.8133184110824599E-2</v>
      </c>
    </row>
    <row r="16" spans="1:11" ht="15.75" thickBot="1" x14ac:dyDescent="0.3">
      <c r="A16" s="459" t="s">
        <v>58</v>
      </c>
      <c r="B16" s="460" t="s">
        <v>166</v>
      </c>
      <c r="C16" s="461">
        <f>C17</f>
        <v>326252</v>
      </c>
      <c r="D16" s="461">
        <f>D17</f>
        <v>327934.15999999997</v>
      </c>
      <c r="E16" s="468">
        <f>E17</f>
        <v>327934.15999999997</v>
      </c>
      <c r="F16" s="373">
        <f t="shared" si="0"/>
        <v>1</v>
      </c>
      <c r="G16" s="469" t="s">
        <v>184</v>
      </c>
      <c r="H16" s="353"/>
      <c r="I16" s="355"/>
      <c r="J16" s="407"/>
      <c r="K16" s="372"/>
    </row>
    <row r="17" spans="1:11" x14ac:dyDescent="0.25">
      <c r="A17" s="456" t="s">
        <v>59</v>
      </c>
      <c r="B17" s="409" t="s">
        <v>164</v>
      </c>
      <c r="C17" s="407">
        <v>326252</v>
      </c>
      <c r="D17" s="407">
        <v>327934.15999999997</v>
      </c>
      <c r="E17" s="407">
        <v>327934.15999999997</v>
      </c>
      <c r="F17" s="372">
        <f t="shared" si="0"/>
        <v>1</v>
      </c>
      <c r="G17" s="409"/>
      <c r="H17" s="355"/>
      <c r="I17" s="355"/>
      <c r="J17" s="407"/>
      <c r="K17" s="356"/>
    </row>
    <row r="18" spans="1:11" x14ac:dyDescent="0.25">
      <c r="A18" s="456" t="s">
        <v>67</v>
      </c>
      <c r="B18" s="409" t="s">
        <v>167</v>
      </c>
      <c r="C18" s="407"/>
      <c r="D18" s="407"/>
      <c r="E18" s="407"/>
      <c r="F18" s="372"/>
      <c r="G18" s="409"/>
      <c r="H18" s="355"/>
      <c r="I18" s="355"/>
      <c r="J18" s="407"/>
      <c r="K18" s="356"/>
    </row>
    <row r="19" spans="1:11" ht="15.75" thickBot="1" x14ac:dyDescent="0.3">
      <c r="A19" s="457" t="s">
        <v>69</v>
      </c>
      <c r="B19" s="413" t="s">
        <v>183</v>
      </c>
      <c r="C19" s="414"/>
      <c r="D19" s="414"/>
      <c r="E19" s="414"/>
      <c r="F19" s="381"/>
      <c r="G19" s="413"/>
      <c r="H19" s="357"/>
      <c r="I19" s="357"/>
      <c r="J19" s="414"/>
      <c r="K19" s="374"/>
    </row>
    <row r="20" spans="1:11" ht="15.75" thickBot="1" x14ac:dyDescent="0.3">
      <c r="A20" s="450" t="s">
        <v>71</v>
      </c>
      <c r="B20" s="402" t="s">
        <v>185</v>
      </c>
      <c r="C20" s="458">
        <f>C16+C18</f>
        <v>326252</v>
      </c>
      <c r="D20" s="458">
        <f>D16+D18</f>
        <v>327934.15999999997</v>
      </c>
      <c r="E20" s="351">
        <f>E16+E18</f>
        <v>327934.15999999997</v>
      </c>
      <c r="F20" s="373">
        <f t="shared" si="0"/>
        <v>1</v>
      </c>
      <c r="G20" s="467" t="s">
        <v>186</v>
      </c>
      <c r="H20" s="351"/>
      <c r="I20" s="462"/>
      <c r="J20" s="445"/>
      <c r="K20" s="379"/>
    </row>
    <row r="21" spans="1:11" ht="15.75" thickBot="1" x14ac:dyDescent="0.3">
      <c r="A21" s="463" t="s">
        <v>77</v>
      </c>
      <c r="B21" s="464" t="s">
        <v>169</v>
      </c>
      <c r="C21" s="458">
        <f>C15+C20</f>
        <v>649161</v>
      </c>
      <c r="D21" s="458">
        <f>D15+D20</f>
        <v>643660.71499999997</v>
      </c>
      <c r="E21" s="351">
        <f>E15+E20</f>
        <v>551371.40500000003</v>
      </c>
      <c r="F21" s="373">
        <f t="shared" si="0"/>
        <v>0.85661807867208439</v>
      </c>
      <c r="G21" s="467" t="s">
        <v>172</v>
      </c>
      <c r="H21" s="351">
        <f>H15+H20</f>
        <v>649161</v>
      </c>
      <c r="I21" s="369">
        <f>I15+I20</f>
        <v>643660.71499999997</v>
      </c>
      <c r="J21" s="369">
        <f>J15+J20</f>
        <v>43854.653999999995</v>
      </c>
      <c r="K21" s="373">
        <f t="shared" si="1"/>
        <v>6.8133184110824599E-2</v>
      </c>
    </row>
    <row r="22" spans="1:11" ht="15.75" thickBot="1" x14ac:dyDescent="0.3">
      <c r="A22" s="454" t="s">
        <v>79</v>
      </c>
      <c r="B22" s="464" t="s">
        <v>174</v>
      </c>
      <c r="C22" s="458">
        <f>H15-C15</f>
        <v>326252</v>
      </c>
      <c r="D22" s="458">
        <f>I15-D15</f>
        <v>327934.15999999997</v>
      </c>
      <c r="E22" s="458"/>
      <c r="F22" s="465"/>
      <c r="G22" s="402" t="s">
        <v>173</v>
      </c>
      <c r="H22" s="351">
        <v>0</v>
      </c>
      <c r="I22" s="369">
        <v>0</v>
      </c>
      <c r="J22" s="369">
        <f>E15-J15</f>
        <v>179582.59100000001</v>
      </c>
      <c r="K22" s="379"/>
    </row>
    <row r="23" spans="1:11" ht="15.75" thickBot="1" x14ac:dyDescent="0.3">
      <c r="A23" s="454" t="s">
        <v>155</v>
      </c>
      <c r="B23" s="464" t="s">
        <v>175</v>
      </c>
      <c r="C23" s="458">
        <f>C21-H21</f>
        <v>0</v>
      </c>
      <c r="D23" s="458">
        <f>D21-I21</f>
        <v>0</v>
      </c>
      <c r="E23" s="458"/>
      <c r="F23" s="465"/>
      <c r="G23" s="402" t="s">
        <v>176</v>
      </c>
      <c r="H23" s="351">
        <f>H21-C21</f>
        <v>0</v>
      </c>
      <c r="I23" s="369">
        <f>I21-D21</f>
        <v>0</v>
      </c>
      <c r="J23" s="525">
        <f>E21-J21</f>
        <v>507516.75100000005</v>
      </c>
      <c r="K23" s="379"/>
    </row>
  </sheetData>
  <mergeCells count="5">
    <mergeCell ref="A3:K3"/>
    <mergeCell ref="A2:K2"/>
    <mergeCell ref="B1:K1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100"/>
  <sheetViews>
    <sheetView showWhiteSpace="0" view="pageBreakPreview" zoomScale="145" zoomScaleNormal="100" zoomScaleSheetLayoutView="145" workbookViewId="0">
      <pane xSplit="4" ySplit="4" topLeftCell="W5" activePane="bottomRight" state="frozen"/>
      <selection activeCell="E24" sqref="E24"/>
      <selection pane="topRight" activeCell="E24" sqref="E24"/>
      <selection pane="bottomLeft" activeCell="E24" sqref="E24"/>
      <selection pane="bottomRight" activeCell="D2" sqref="D2:AM2"/>
    </sheetView>
  </sheetViews>
  <sheetFormatPr defaultRowHeight="15" x14ac:dyDescent="0.25"/>
  <cols>
    <col min="1" max="2" width="8.28515625" style="272" customWidth="1"/>
    <col min="3" max="3" width="14" style="272" customWidth="1"/>
    <col min="4" max="4" width="63.5703125" style="272" customWidth="1"/>
    <col min="5" max="6" width="11.28515625" style="273" bestFit="1" customWidth="1"/>
    <col min="7" max="7" width="11.28515625" style="273" customWidth="1"/>
    <col min="8" max="11" width="12.42578125" style="273" bestFit="1" customWidth="1"/>
    <col min="12" max="12" width="14.28515625" style="273" bestFit="1" customWidth="1"/>
    <col min="13" max="16" width="12.42578125" style="273" customWidth="1"/>
    <col min="17" max="18" width="12.42578125" style="273" bestFit="1" customWidth="1"/>
    <col min="19" max="19" width="12.42578125" style="273" customWidth="1"/>
    <col min="20" max="20" width="13.42578125" style="273" customWidth="1"/>
    <col min="21" max="22" width="14" style="273" customWidth="1"/>
    <col min="23" max="23" width="11" style="273" bestFit="1" customWidth="1"/>
    <col min="24" max="24" width="8.42578125" style="273" bestFit="1" customWidth="1"/>
    <col min="25" max="25" width="8.42578125" style="273" customWidth="1"/>
    <col min="26" max="26" width="9.5703125" style="273" bestFit="1" customWidth="1"/>
    <col min="27" max="28" width="11.28515625" style="273" bestFit="1" customWidth="1"/>
    <col min="29" max="29" width="9.5703125" style="273" bestFit="1" customWidth="1"/>
    <col min="30" max="31" width="8.42578125" style="273" customWidth="1"/>
    <col min="32" max="33" width="12.42578125" style="273" bestFit="1" customWidth="1"/>
    <col min="34" max="34" width="12.42578125" style="273" customWidth="1"/>
    <col min="35" max="35" width="14.5703125" style="273" customWidth="1"/>
    <col min="36" max="36" width="11.28515625" style="272" hidden="1" customWidth="1"/>
    <col min="37" max="37" width="14" style="272" customWidth="1"/>
    <col min="38" max="38" width="14.28515625" style="272" bestFit="1" customWidth="1"/>
    <col min="39" max="39" width="9.42578125" style="310" customWidth="1"/>
    <col min="40" max="16384" width="9.140625" style="272"/>
  </cols>
  <sheetData>
    <row r="1" spans="1:41" x14ac:dyDescent="0.25">
      <c r="A1" s="271"/>
      <c r="B1" s="271"/>
      <c r="W1" s="832" t="s">
        <v>1020</v>
      </c>
      <c r="X1" s="832"/>
      <c r="Y1" s="832"/>
      <c r="Z1" s="832"/>
      <c r="AA1" s="832"/>
      <c r="AB1" s="832"/>
      <c r="AC1" s="832"/>
      <c r="AD1" s="832"/>
      <c r="AE1" s="832"/>
      <c r="AF1" s="832"/>
      <c r="AG1" s="832"/>
      <c r="AH1" s="832"/>
      <c r="AI1" s="832"/>
    </row>
    <row r="2" spans="1:41" ht="61.5" customHeight="1" x14ac:dyDescent="0.25">
      <c r="A2" s="274">
        <v>1</v>
      </c>
      <c r="B2" s="274"/>
      <c r="C2" s="274"/>
      <c r="D2" s="836" t="s">
        <v>546</v>
      </c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7"/>
      <c r="AF2" s="837"/>
      <c r="AG2" s="837"/>
      <c r="AH2" s="837"/>
      <c r="AI2" s="837"/>
      <c r="AJ2" s="837"/>
      <c r="AK2" s="837"/>
      <c r="AL2" s="837"/>
      <c r="AM2" s="838"/>
    </row>
    <row r="3" spans="1:41" ht="62.25" customHeight="1" x14ac:dyDescent="0.25">
      <c r="A3" s="274">
        <v>2</v>
      </c>
      <c r="B3" s="274"/>
      <c r="C3" s="275" t="s">
        <v>198</v>
      </c>
      <c r="D3" s="276" t="s">
        <v>199</v>
      </c>
      <c r="E3" s="833" t="s">
        <v>159</v>
      </c>
      <c r="F3" s="834"/>
      <c r="G3" s="835"/>
      <c r="H3" s="833" t="s">
        <v>158</v>
      </c>
      <c r="I3" s="834"/>
      <c r="J3" s="835"/>
      <c r="K3" s="833" t="s">
        <v>200</v>
      </c>
      <c r="L3" s="834"/>
      <c r="M3" s="835"/>
      <c r="N3" s="833" t="s">
        <v>372</v>
      </c>
      <c r="O3" s="834"/>
      <c r="P3" s="835"/>
      <c r="Q3" s="833" t="s">
        <v>201</v>
      </c>
      <c r="R3" s="834"/>
      <c r="S3" s="835"/>
      <c r="T3" s="833" t="s">
        <v>202</v>
      </c>
      <c r="U3" s="834"/>
      <c r="V3" s="835"/>
      <c r="W3" s="833" t="s">
        <v>203</v>
      </c>
      <c r="X3" s="834"/>
      <c r="Y3" s="835"/>
      <c r="Z3" s="833" t="s">
        <v>371</v>
      </c>
      <c r="AA3" s="834"/>
      <c r="AB3" s="835"/>
      <c r="AC3" s="833" t="s">
        <v>376</v>
      </c>
      <c r="AD3" s="834"/>
      <c r="AE3" s="835"/>
      <c r="AF3" s="833" t="s">
        <v>204</v>
      </c>
      <c r="AG3" s="834"/>
      <c r="AH3" s="835"/>
      <c r="AI3" s="833" t="s">
        <v>205</v>
      </c>
      <c r="AJ3" s="834"/>
      <c r="AK3" s="834"/>
      <c r="AL3" s="834"/>
      <c r="AM3" s="835"/>
    </row>
    <row r="4" spans="1:41" s="282" customFormat="1" ht="43.5" customHeight="1" x14ac:dyDescent="0.25">
      <c r="A4" s="277">
        <v>3</v>
      </c>
      <c r="B4" s="277"/>
      <c r="C4" s="277"/>
      <c r="D4" s="276" t="s">
        <v>187</v>
      </c>
      <c r="E4" s="278" t="s">
        <v>398</v>
      </c>
      <c r="F4" s="100" t="s">
        <v>399</v>
      </c>
      <c r="G4" s="100" t="s">
        <v>392</v>
      </c>
      <c r="H4" s="278" t="s">
        <v>398</v>
      </c>
      <c r="I4" s="100" t="s">
        <v>399</v>
      </c>
      <c r="J4" s="100" t="s">
        <v>392</v>
      </c>
      <c r="K4" s="278" t="s">
        <v>398</v>
      </c>
      <c r="L4" s="100" t="s">
        <v>399</v>
      </c>
      <c r="M4" s="100" t="s">
        <v>392</v>
      </c>
      <c r="N4" s="278" t="s">
        <v>398</v>
      </c>
      <c r="O4" s="100" t="s">
        <v>399</v>
      </c>
      <c r="P4" s="100" t="s">
        <v>392</v>
      </c>
      <c r="Q4" s="278" t="s">
        <v>398</v>
      </c>
      <c r="R4" s="100" t="s">
        <v>399</v>
      </c>
      <c r="S4" s="100" t="s">
        <v>392</v>
      </c>
      <c r="T4" s="278" t="s">
        <v>400</v>
      </c>
      <c r="U4" s="100" t="s">
        <v>399</v>
      </c>
      <c r="V4" s="100" t="s">
        <v>392</v>
      </c>
      <c r="W4" s="278" t="s">
        <v>398</v>
      </c>
      <c r="X4" s="100" t="s">
        <v>399</v>
      </c>
      <c r="Y4" s="100" t="s">
        <v>392</v>
      </c>
      <c r="Z4" s="278" t="s">
        <v>398</v>
      </c>
      <c r="AA4" s="100" t="s">
        <v>399</v>
      </c>
      <c r="AB4" s="100" t="s">
        <v>392</v>
      </c>
      <c r="AC4" s="278" t="s">
        <v>398</v>
      </c>
      <c r="AD4" s="100" t="s">
        <v>399</v>
      </c>
      <c r="AE4" s="100" t="s">
        <v>392</v>
      </c>
      <c r="AF4" s="278" t="s">
        <v>398</v>
      </c>
      <c r="AG4" s="100" t="s">
        <v>399</v>
      </c>
      <c r="AH4" s="100" t="s">
        <v>392</v>
      </c>
      <c r="AI4" s="279" t="s">
        <v>398</v>
      </c>
      <c r="AJ4" s="280" t="s">
        <v>206</v>
      </c>
      <c r="AK4" s="182" t="s">
        <v>399</v>
      </c>
      <c r="AL4" s="100" t="s">
        <v>392</v>
      </c>
      <c r="AM4" s="308" t="s">
        <v>393</v>
      </c>
      <c r="AN4" s="281"/>
      <c r="AO4" s="281"/>
    </row>
    <row r="5" spans="1:41" x14ac:dyDescent="0.25">
      <c r="A5" s="274">
        <v>4</v>
      </c>
      <c r="B5" s="274">
        <v>104</v>
      </c>
      <c r="C5" s="274" t="s">
        <v>207</v>
      </c>
      <c r="D5" s="283" t="s">
        <v>208</v>
      </c>
      <c r="E5" s="284"/>
      <c r="F5" s="284"/>
      <c r="G5" s="284"/>
      <c r="H5" s="120">
        <v>90983</v>
      </c>
      <c r="I5" s="120">
        <v>102030.988</v>
      </c>
      <c r="J5" s="516">
        <v>102030.988</v>
      </c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5">
        <f>E5+H5+K5+Q5+T5+W5+AF5</f>
        <v>90983</v>
      </c>
      <c r="AJ5" s="285">
        <f t="shared" ref="AJ5" si="0">F5+I5+L5+R5+U5+X5+AG5</f>
        <v>102030.988</v>
      </c>
      <c r="AK5" s="285">
        <f>F5+I5+L5+R5+U5+X5+AG5</f>
        <v>102030.988</v>
      </c>
      <c r="AL5" s="285">
        <f>G5+J5+M5+S5+V5+Y5+AH5</f>
        <v>102030.988</v>
      </c>
      <c r="AM5" s="311">
        <f>AL5/AK5</f>
        <v>1</v>
      </c>
      <c r="AN5" s="287"/>
      <c r="AO5" s="287"/>
    </row>
    <row r="6" spans="1:41" x14ac:dyDescent="0.25">
      <c r="A6" s="274">
        <v>5</v>
      </c>
      <c r="B6" s="274">
        <v>105</v>
      </c>
      <c r="C6" s="274" t="s">
        <v>207</v>
      </c>
      <c r="D6" s="283" t="s">
        <v>209</v>
      </c>
      <c r="E6" s="284"/>
      <c r="F6" s="284"/>
      <c r="G6" s="284"/>
      <c r="H6" s="120">
        <v>44</v>
      </c>
      <c r="I6" s="120">
        <v>90.1</v>
      </c>
      <c r="J6" s="516">
        <v>90.048000000000002</v>
      </c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5">
        <f t="shared" ref="AI6:AI69" si="1">E6+H6+K6+Q6+T6+W6+AF6</f>
        <v>44</v>
      </c>
      <c r="AJ6" s="285">
        <f t="shared" ref="AJ6:AJ69" si="2">F6+I6+L6+R6+U6+X6+AG6</f>
        <v>90.1</v>
      </c>
      <c r="AK6" s="285">
        <f t="shared" ref="AK6:AL11" si="3">F6+I6+L6+R6+U6+X6+AG6</f>
        <v>90.1</v>
      </c>
      <c r="AL6" s="285">
        <f t="shared" si="3"/>
        <v>90.048000000000002</v>
      </c>
      <c r="AM6" s="311">
        <f t="shared" ref="AM6:AM81" si="4">AL6/AK6</f>
        <v>0.99942286348501674</v>
      </c>
    </row>
    <row r="7" spans="1:41" x14ac:dyDescent="0.25">
      <c r="A7" s="274">
        <v>6</v>
      </c>
      <c r="B7" s="274">
        <v>106</v>
      </c>
      <c r="C7" s="274" t="s">
        <v>207</v>
      </c>
      <c r="D7" s="283" t="s">
        <v>210</v>
      </c>
      <c r="E7" s="284"/>
      <c r="F7" s="284"/>
      <c r="G7" s="284"/>
      <c r="H7" s="120">
        <v>10605</v>
      </c>
      <c r="I7" s="120">
        <v>11024.7</v>
      </c>
      <c r="J7" s="516">
        <v>11024.617</v>
      </c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5">
        <f t="shared" si="1"/>
        <v>10605</v>
      </c>
      <c r="AJ7" s="285">
        <f t="shared" si="2"/>
        <v>11024.7</v>
      </c>
      <c r="AK7" s="285">
        <f t="shared" si="3"/>
        <v>11024.7</v>
      </c>
      <c r="AL7" s="285">
        <f t="shared" si="3"/>
        <v>11024.617</v>
      </c>
      <c r="AM7" s="311">
        <f t="shared" si="4"/>
        <v>0.99999247145047021</v>
      </c>
    </row>
    <row r="8" spans="1:41" x14ac:dyDescent="0.25">
      <c r="A8" s="274">
        <v>7</v>
      </c>
      <c r="B8" s="274">
        <v>107</v>
      </c>
      <c r="C8" s="274" t="s">
        <v>207</v>
      </c>
      <c r="D8" s="283" t="s">
        <v>211</v>
      </c>
      <c r="E8" s="284"/>
      <c r="F8" s="284"/>
      <c r="G8" s="284"/>
      <c r="H8" s="120">
        <v>695</v>
      </c>
      <c r="I8" s="120">
        <v>469</v>
      </c>
      <c r="J8" s="516">
        <v>468.78399999999999</v>
      </c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5">
        <f t="shared" si="1"/>
        <v>695</v>
      </c>
      <c r="AJ8" s="285">
        <f t="shared" si="2"/>
        <v>469</v>
      </c>
      <c r="AK8" s="285">
        <f t="shared" si="3"/>
        <v>469</v>
      </c>
      <c r="AL8" s="285">
        <f t="shared" si="3"/>
        <v>468.78399999999999</v>
      </c>
      <c r="AM8" s="311">
        <f t="shared" si="4"/>
        <v>0.99953944562899788</v>
      </c>
    </row>
    <row r="9" spans="1:41" x14ac:dyDescent="0.25">
      <c r="A9" s="274">
        <v>8</v>
      </c>
      <c r="B9" s="274">
        <v>108</v>
      </c>
      <c r="C9" s="274" t="s">
        <v>207</v>
      </c>
      <c r="D9" s="283" t="s">
        <v>50</v>
      </c>
      <c r="E9" s="120"/>
      <c r="F9" s="120"/>
      <c r="G9" s="120"/>
      <c r="H9" s="284">
        <v>195</v>
      </c>
      <c r="I9" s="284">
        <v>441</v>
      </c>
      <c r="J9" s="284">
        <v>440.851</v>
      </c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5">
        <f t="shared" si="1"/>
        <v>195</v>
      </c>
      <c r="AJ9" s="285">
        <f t="shared" si="2"/>
        <v>441</v>
      </c>
      <c r="AK9" s="285">
        <f t="shared" si="3"/>
        <v>441</v>
      </c>
      <c r="AL9" s="285">
        <f t="shared" si="3"/>
        <v>440.851</v>
      </c>
      <c r="AM9" s="311">
        <f t="shared" si="4"/>
        <v>0.99966213151927441</v>
      </c>
    </row>
    <row r="10" spans="1:41" x14ac:dyDescent="0.25">
      <c r="A10" s="274">
        <v>9</v>
      </c>
      <c r="B10" s="274">
        <v>109</v>
      </c>
      <c r="C10" s="274" t="s">
        <v>207</v>
      </c>
      <c r="D10" s="283" t="s">
        <v>428</v>
      </c>
      <c r="E10" s="284"/>
      <c r="F10" s="284"/>
      <c r="G10" s="284"/>
      <c r="H10" s="120">
        <v>160</v>
      </c>
      <c r="I10" s="120">
        <v>213.1</v>
      </c>
      <c r="J10" s="516">
        <v>213.09700000000001</v>
      </c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5">
        <f t="shared" si="1"/>
        <v>160</v>
      </c>
      <c r="AJ10" s="285">
        <f t="shared" si="2"/>
        <v>213.1</v>
      </c>
      <c r="AK10" s="285">
        <f t="shared" si="3"/>
        <v>213.1</v>
      </c>
      <c r="AL10" s="285">
        <f t="shared" si="3"/>
        <v>213.09700000000001</v>
      </c>
      <c r="AM10" s="311">
        <f t="shared" si="4"/>
        <v>0.99998592210229942</v>
      </c>
    </row>
    <row r="11" spans="1:41" x14ac:dyDescent="0.25">
      <c r="A11" s="274">
        <v>10</v>
      </c>
      <c r="B11" s="274">
        <v>109</v>
      </c>
      <c r="C11" s="274" t="s">
        <v>207</v>
      </c>
      <c r="D11" s="283" t="s">
        <v>429</v>
      </c>
      <c r="E11" s="284"/>
      <c r="F11" s="284"/>
      <c r="G11" s="284"/>
      <c r="H11" s="120">
        <v>134</v>
      </c>
      <c r="I11" s="120">
        <v>263.60000000000002</v>
      </c>
      <c r="J11" s="516">
        <v>263.59500000000003</v>
      </c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5">
        <f t="shared" si="1"/>
        <v>134</v>
      </c>
      <c r="AJ11" s="285">
        <f t="shared" si="2"/>
        <v>263.60000000000002</v>
      </c>
      <c r="AK11" s="285">
        <f t="shared" si="3"/>
        <v>263.60000000000002</v>
      </c>
      <c r="AL11" s="285">
        <f t="shared" si="3"/>
        <v>263.59500000000003</v>
      </c>
      <c r="AM11" s="311">
        <f t="shared" si="4"/>
        <v>0.99998103186646436</v>
      </c>
    </row>
    <row r="12" spans="1:41" x14ac:dyDescent="0.25">
      <c r="A12" s="274">
        <v>11</v>
      </c>
      <c r="B12" s="274">
        <v>113</v>
      </c>
      <c r="C12" s="274" t="s">
        <v>207</v>
      </c>
      <c r="D12" s="283" t="s">
        <v>212</v>
      </c>
      <c r="E12" s="284"/>
      <c r="F12" s="284"/>
      <c r="G12" s="284"/>
      <c r="H12" s="120">
        <v>5</v>
      </c>
      <c r="I12" s="120">
        <v>1.4</v>
      </c>
      <c r="J12" s="516">
        <v>1.4</v>
      </c>
      <c r="K12" s="284"/>
      <c r="L12" s="284"/>
      <c r="M12" s="284"/>
      <c r="N12" s="284"/>
      <c r="O12" s="284"/>
      <c r="P12" s="284"/>
      <c r="Q12" s="284"/>
      <c r="R12" s="284"/>
      <c r="S12" s="284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284"/>
      <c r="AG12" s="284"/>
      <c r="AH12" s="284"/>
      <c r="AI12" s="285">
        <f>E12+H12+K12+Q12+T12+W12+AF12</f>
        <v>5</v>
      </c>
      <c r="AJ12" s="285">
        <f t="shared" si="2"/>
        <v>1.4</v>
      </c>
      <c r="AK12" s="285">
        <f>F12+I12+L12+R12+U12+X12+AG12</f>
        <v>1.4</v>
      </c>
      <c r="AL12" s="285">
        <f>G12+J12+M12+S12+V12+Y12+AH12</f>
        <v>1.4</v>
      </c>
      <c r="AM12" s="311">
        <f t="shared" si="4"/>
        <v>1</v>
      </c>
    </row>
    <row r="13" spans="1:41" x14ac:dyDescent="0.25">
      <c r="A13" s="274">
        <v>12</v>
      </c>
      <c r="B13" s="481" t="s">
        <v>375</v>
      </c>
      <c r="C13" s="274" t="s">
        <v>207</v>
      </c>
      <c r="D13" s="283" t="s">
        <v>214</v>
      </c>
      <c r="E13" s="284"/>
      <c r="F13" s="284"/>
      <c r="G13" s="284"/>
      <c r="H13" s="284"/>
      <c r="I13" s="284"/>
      <c r="J13" s="284"/>
      <c r="K13" s="288">
        <v>72684.600000000006</v>
      </c>
      <c r="L13" s="288">
        <v>72684.600000000006</v>
      </c>
      <c r="M13" s="288">
        <v>72684.600000000006</v>
      </c>
      <c r="N13" s="120"/>
      <c r="O13" s="120"/>
      <c r="P13" s="120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5">
        <f t="shared" si="1"/>
        <v>72684.600000000006</v>
      </c>
      <c r="AJ13" s="285">
        <f t="shared" si="2"/>
        <v>72684.600000000006</v>
      </c>
      <c r="AK13" s="285">
        <f t="shared" ref="AK13:AL49" si="5">F13+I13+L13+R13+U13+X13+AG13</f>
        <v>72684.600000000006</v>
      </c>
      <c r="AL13" s="285">
        <f t="shared" si="5"/>
        <v>72684.600000000006</v>
      </c>
      <c r="AM13" s="311">
        <f t="shared" si="4"/>
        <v>1</v>
      </c>
    </row>
    <row r="14" spans="1:41" x14ac:dyDescent="0.25">
      <c r="A14" s="274"/>
      <c r="B14" s="481"/>
      <c r="C14" s="274" t="s">
        <v>207</v>
      </c>
      <c r="D14" s="283" t="s">
        <v>532</v>
      </c>
      <c r="E14" s="284"/>
      <c r="F14" s="284"/>
      <c r="G14" s="284"/>
      <c r="H14" s="284"/>
      <c r="I14" s="284"/>
      <c r="J14" s="284"/>
      <c r="K14" s="288"/>
      <c r="L14" s="288">
        <v>123.464</v>
      </c>
      <c r="M14" s="288">
        <v>123.464</v>
      </c>
      <c r="N14" s="120"/>
      <c r="O14" s="120"/>
      <c r="P14" s="120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5"/>
      <c r="AJ14" s="285"/>
      <c r="AK14" s="285">
        <f t="shared" si="5"/>
        <v>123.464</v>
      </c>
      <c r="AL14" s="285">
        <f t="shared" si="5"/>
        <v>123.464</v>
      </c>
      <c r="AM14" s="311">
        <f t="shared" si="4"/>
        <v>1</v>
      </c>
    </row>
    <row r="15" spans="1:41" x14ac:dyDescent="0.25">
      <c r="A15" s="274">
        <v>13</v>
      </c>
      <c r="B15" s="481"/>
      <c r="C15" s="274" t="s">
        <v>207</v>
      </c>
      <c r="D15" s="283" t="s">
        <v>215</v>
      </c>
      <c r="E15" s="284"/>
      <c r="F15" s="284"/>
      <c r="G15" s="284"/>
      <c r="H15" s="284"/>
      <c r="I15" s="284"/>
      <c r="J15" s="284"/>
      <c r="K15" s="288">
        <v>7579.77</v>
      </c>
      <c r="L15" s="288">
        <v>7579.77</v>
      </c>
      <c r="M15" s="288">
        <v>7579.77</v>
      </c>
      <c r="N15" s="120"/>
      <c r="O15" s="120"/>
      <c r="P15" s="120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5">
        <f t="shared" si="1"/>
        <v>7579.77</v>
      </c>
      <c r="AJ15" s="285">
        <f t="shared" si="2"/>
        <v>7579.77</v>
      </c>
      <c r="AK15" s="285">
        <f t="shared" si="5"/>
        <v>7579.77</v>
      </c>
      <c r="AL15" s="285">
        <f t="shared" si="5"/>
        <v>7579.77</v>
      </c>
      <c r="AM15" s="311">
        <f t="shared" si="4"/>
        <v>1</v>
      </c>
    </row>
    <row r="16" spans="1:41" x14ac:dyDescent="0.25">
      <c r="A16" s="274">
        <v>14</v>
      </c>
      <c r="B16" s="481"/>
      <c r="C16" s="274" t="s">
        <v>207</v>
      </c>
      <c r="D16" s="283" t="s">
        <v>216</v>
      </c>
      <c r="E16" s="284"/>
      <c r="F16" s="284"/>
      <c r="G16" s="284"/>
      <c r="H16" s="284"/>
      <c r="I16" s="284"/>
      <c r="J16" s="284"/>
      <c r="K16" s="288">
        <v>13728</v>
      </c>
      <c r="L16" s="288">
        <v>13728</v>
      </c>
      <c r="M16" s="288">
        <v>13728</v>
      </c>
      <c r="N16" s="120"/>
      <c r="O16" s="120"/>
      <c r="P16" s="120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5">
        <f t="shared" si="1"/>
        <v>13728</v>
      </c>
      <c r="AJ16" s="285">
        <f t="shared" si="2"/>
        <v>13728</v>
      </c>
      <c r="AK16" s="285">
        <f t="shared" si="5"/>
        <v>13728</v>
      </c>
      <c r="AL16" s="285">
        <f t="shared" si="5"/>
        <v>13728</v>
      </c>
      <c r="AM16" s="311">
        <f t="shared" si="4"/>
        <v>1</v>
      </c>
    </row>
    <row r="17" spans="1:39" x14ac:dyDescent="0.25">
      <c r="A17" s="274">
        <v>15</v>
      </c>
      <c r="B17" s="481"/>
      <c r="C17" s="274" t="s">
        <v>207</v>
      </c>
      <c r="D17" s="283" t="s">
        <v>308</v>
      </c>
      <c r="E17" s="284"/>
      <c r="F17" s="284"/>
      <c r="G17" s="284"/>
      <c r="H17" s="284"/>
      <c r="I17" s="284"/>
      <c r="J17" s="284"/>
      <c r="K17" s="288">
        <v>0</v>
      </c>
      <c r="L17" s="288">
        <v>0</v>
      </c>
      <c r="M17" s="288">
        <v>0</v>
      </c>
      <c r="N17" s="120"/>
      <c r="O17" s="120"/>
      <c r="P17" s="120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5">
        <f t="shared" si="1"/>
        <v>0</v>
      </c>
      <c r="AJ17" s="285">
        <f t="shared" si="2"/>
        <v>0</v>
      </c>
      <c r="AK17" s="285">
        <f t="shared" si="5"/>
        <v>0</v>
      </c>
      <c r="AL17" s="285">
        <f t="shared" si="5"/>
        <v>0</v>
      </c>
      <c r="AM17" s="311" t="e">
        <f t="shared" si="4"/>
        <v>#DIV/0!</v>
      </c>
    </row>
    <row r="18" spans="1:39" x14ac:dyDescent="0.25">
      <c r="A18" s="274">
        <v>16</v>
      </c>
      <c r="B18" s="481"/>
      <c r="C18" s="274" t="s">
        <v>207</v>
      </c>
      <c r="D18" s="283" t="s">
        <v>217</v>
      </c>
      <c r="E18" s="284"/>
      <c r="F18" s="284"/>
      <c r="G18" s="284"/>
      <c r="H18" s="284"/>
      <c r="I18" s="284"/>
      <c r="J18" s="284"/>
      <c r="K18" s="288">
        <v>6117.65</v>
      </c>
      <c r="L18" s="288">
        <v>6117.65</v>
      </c>
      <c r="M18" s="288">
        <v>6117.65</v>
      </c>
      <c r="N18" s="120"/>
      <c r="O18" s="120"/>
      <c r="P18" s="120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5">
        <f t="shared" si="1"/>
        <v>6117.65</v>
      </c>
      <c r="AJ18" s="285">
        <f t="shared" si="2"/>
        <v>6117.65</v>
      </c>
      <c r="AK18" s="285">
        <f t="shared" si="5"/>
        <v>6117.65</v>
      </c>
      <c r="AL18" s="285">
        <f t="shared" si="5"/>
        <v>6117.65</v>
      </c>
      <c r="AM18" s="311">
        <f>AL18/AK18</f>
        <v>1</v>
      </c>
    </row>
    <row r="19" spans="1:39" x14ac:dyDescent="0.25">
      <c r="A19" s="274">
        <v>17</v>
      </c>
      <c r="B19" s="481"/>
      <c r="C19" s="274" t="s">
        <v>207</v>
      </c>
      <c r="D19" s="283" t="s">
        <v>320</v>
      </c>
      <c r="E19" s="284"/>
      <c r="F19" s="284"/>
      <c r="G19" s="284"/>
      <c r="H19" s="284"/>
      <c r="I19" s="284"/>
      <c r="J19" s="284"/>
      <c r="K19" s="288">
        <v>641.41999999999996</v>
      </c>
      <c r="L19" s="288">
        <v>641.41999999999996</v>
      </c>
      <c r="M19" s="288">
        <v>641.41999999999996</v>
      </c>
      <c r="N19" s="120"/>
      <c r="O19" s="120"/>
      <c r="P19" s="120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5">
        <f t="shared" si="1"/>
        <v>641.41999999999996</v>
      </c>
      <c r="AJ19" s="285">
        <f t="shared" si="2"/>
        <v>641.41999999999996</v>
      </c>
      <c r="AK19" s="285">
        <f t="shared" si="5"/>
        <v>641.41999999999996</v>
      </c>
      <c r="AL19" s="285">
        <f t="shared" si="5"/>
        <v>641.41999999999996</v>
      </c>
      <c r="AM19" s="311">
        <f t="shared" si="4"/>
        <v>1</v>
      </c>
    </row>
    <row r="20" spans="1:39" x14ac:dyDescent="0.25">
      <c r="A20" s="274">
        <v>18</v>
      </c>
      <c r="B20" s="481"/>
      <c r="C20" s="274" t="s">
        <v>207</v>
      </c>
      <c r="D20" s="283" t="s">
        <v>321</v>
      </c>
      <c r="E20" s="284"/>
      <c r="F20" s="284"/>
      <c r="G20" s="284"/>
      <c r="H20" s="284"/>
      <c r="I20" s="284"/>
      <c r="J20" s="284"/>
      <c r="K20" s="288">
        <v>430.95</v>
      </c>
      <c r="L20" s="288">
        <v>430.95</v>
      </c>
      <c r="M20" s="288">
        <v>430.95</v>
      </c>
      <c r="N20" s="120"/>
      <c r="O20" s="120"/>
      <c r="P20" s="120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5">
        <f t="shared" si="1"/>
        <v>430.95</v>
      </c>
      <c r="AJ20" s="285">
        <f t="shared" si="2"/>
        <v>430.95</v>
      </c>
      <c r="AK20" s="285">
        <f t="shared" si="5"/>
        <v>430.95</v>
      </c>
      <c r="AL20" s="285">
        <f t="shared" si="5"/>
        <v>430.95</v>
      </c>
      <c r="AM20" s="311">
        <f t="shared" si="4"/>
        <v>1</v>
      </c>
    </row>
    <row r="21" spans="1:39" x14ac:dyDescent="0.25">
      <c r="A21" s="274">
        <v>19</v>
      </c>
      <c r="B21" s="481"/>
      <c r="C21" s="274" t="s">
        <v>207</v>
      </c>
      <c r="D21" s="283" t="s">
        <v>219</v>
      </c>
      <c r="E21" s="284"/>
      <c r="F21" s="284"/>
      <c r="G21" s="284"/>
      <c r="H21" s="284"/>
      <c r="I21" s="284"/>
      <c r="J21" s="284"/>
      <c r="K21" s="288">
        <v>3.6</v>
      </c>
      <c r="L21" s="288">
        <v>3.6</v>
      </c>
      <c r="M21" s="288">
        <v>3.6</v>
      </c>
      <c r="N21" s="120"/>
      <c r="O21" s="120"/>
      <c r="P21" s="120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5">
        <f t="shared" si="1"/>
        <v>3.6</v>
      </c>
      <c r="AJ21" s="285">
        <f t="shared" si="2"/>
        <v>3.6</v>
      </c>
      <c r="AK21" s="285">
        <f t="shared" si="5"/>
        <v>3.6</v>
      </c>
      <c r="AL21" s="285">
        <f t="shared" si="5"/>
        <v>3.6</v>
      </c>
      <c r="AM21" s="311">
        <f t="shared" si="4"/>
        <v>1</v>
      </c>
    </row>
    <row r="22" spans="1:39" x14ac:dyDescent="0.25">
      <c r="A22" s="274">
        <v>20</v>
      </c>
      <c r="B22" s="481"/>
      <c r="C22" s="274" t="s">
        <v>207</v>
      </c>
      <c r="D22" s="283" t="s">
        <v>218</v>
      </c>
      <c r="E22" s="284"/>
      <c r="F22" s="284"/>
      <c r="G22" s="284"/>
      <c r="H22" s="284"/>
      <c r="I22" s="284"/>
      <c r="J22" s="284"/>
      <c r="K22" s="288">
        <v>12.1</v>
      </c>
      <c r="L22" s="288">
        <v>12.1</v>
      </c>
      <c r="M22" s="288">
        <v>12.1</v>
      </c>
      <c r="N22" s="120"/>
      <c r="O22" s="120"/>
      <c r="P22" s="120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5">
        <f t="shared" si="1"/>
        <v>12.1</v>
      </c>
      <c r="AJ22" s="285">
        <f t="shared" si="2"/>
        <v>12.1</v>
      </c>
      <c r="AK22" s="285">
        <f t="shared" si="5"/>
        <v>12.1</v>
      </c>
      <c r="AL22" s="285">
        <f t="shared" si="5"/>
        <v>12.1</v>
      </c>
      <c r="AM22" s="311">
        <f t="shared" si="4"/>
        <v>1</v>
      </c>
    </row>
    <row r="23" spans="1:39" x14ac:dyDescent="0.25">
      <c r="A23" s="274">
        <v>21</v>
      </c>
      <c r="B23" s="481"/>
      <c r="C23" s="274" t="s">
        <v>207</v>
      </c>
      <c r="D23" s="283" t="s">
        <v>416</v>
      </c>
      <c r="E23" s="284">
        <v>207109.965</v>
      </c>
      <c r="F23" s="284"/>
      <c r="G23" s="284"/>
      <c r="H23" s="284"/>
      <c r="I23" s="284"/>
      <c r="J23" s="284"/>
      <c r="K23" s="288">
        <v>1041</v>
      </c>
      <c r="L23" s="288">
        <v>1041</v>
      </c>
      <c r="M23" s="288">
        <v>1041</v>
      </c>
      <c r="N23" s="120"/>
      <c r="O23" s="120"/>
      <c r="P23" s="120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5">
        <f t="shared" si="1"/>
        <v>208150.965</v>
      </c>
      <c r="AJ23" s="285">
        <f t="shared" si="2"/>
        <v>1041</v>
      </c>
      <c r="AK23" s="285">
        <f t="shared" si="5"/>
        <v>1041</v>
      </c>
      <c r="AL23" s="285">
        <f t="shared" si="5"/>
        <v>1041</v>
      </c>
      <c r="AM23" s="311">
        <f t="shared" si="4"/>
        <v>1</v>
      </c>
    </row>
    <row r="24" spans="1:39" x14ac:dyDescent="0.25">
      <c r="A24" s="274">
        <v>22</v>
      </c>
      <c r="B24" s="481"/>
      <c r="C24" s="274" t="s">
        <v>207</v>
      </c>
      <c r="D24" s="283" t="s">
        <v>322</v>
      </c>
      <c r="E24" s="284"/>
      <c r="F24" s="284"/>
      <c r="G24" s="284"/>
      <c r="H24" s="284"/>
      <c r="I24" s="284"/>
      <c r="J24" s="284"/>
      <c r="K24" s="289">
        <v>62709.3</v>
      </c>
      <c r="L24" s="289">
        <v>64408</v>
      </c>
      <c r="M24" s="289">
        <v>64408</v>
      </c>
      <c r="N24" s="120"/>
      <c r="O24" s="120"/>
      <c r="P24" s="120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5">
        <f t="shared" si="1"/>
        <v>62709.3</v>
      </c>
      <c r="AJ24" s="285">
        <f t="shared" si="2"/>
        <v>64408</v>
      </c>
      <c r="AK24" s="285">
        <f t="shared" si="5"/>
        <v>64408</v>
      </c>
      <c r="AL24" s="285">
        <f t="shared" si="5"/>
        <v>64408</v>
      </c>
      <c r="AM24" s="311">
        <f t="shared" si="4"/>
        <v>1</v>
      </c>
    </row>
    <row r="25" spans="1:39" x14ac:dyDescent="0.25">
      <c r="A25" s="274">
        <v>23</v>
      </c>
      <c r="B25" s="481"/>
      <c r="C25" s="274" t="s">
        <v>207</v>
      </c>
      <c r="D25" s="283" t="s">
        <v>220</v>
      </c>
      <c r="E25" s="284"/>
      <c r="F25" s="284"/>
      <c r="G25" s="284"/>
      <c r="H25" s="284"/>
      <c r="I25" s="284"/>
      <c r="J25" s="284"/>
      <c r="K25" s="289">
        <v>8442.3340000000007</v>
      </c>
      <c r="L25" s="289">
        <v>8850.8330000000005</v>
      </c>
      <c r="M25" s="289">
        <v>8850.8330000000005</v>
      </c>
      <c r="N25" s="120"/>
      <c r="O25" s="120"/>
      <c r="P25" s="120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5">
        <f t="shared" si="1"/>
        <v>8442.3340000000007</v>
      </c>
      <c r="AJ25" s="285">
        <f t="shared" si="2"/>
        <v>8850.8330000000005</v>
      </c>
      <c r="AK25" s="285">
        <f t="shared" si="5"/>
        <v>8850.8330000000005</v>
      </c>
      <c r="AL25" s="285">
        <f t="shared" si="5"/>
        <v>8850.8330000000005</v>
      </c>
      <c r="AM25" s="311">
        <f t="shared" si="4"/>
        <v>1</v>
      </c>
    </row>
    <row r="26" spans="1:39" x14ac:dyDescent="0.25">
      <c r="A26" s="274">
        <v>24</v>
      </c>
      <c r="B26" s="481"/>
      <c r="C26" s="274" t="s">
        <v>207</v>
      </c>
      <c r="D26" s="283" t="s">
        <v>302</v>
      </c>
      <c r="E26" s="284"/>
      <c r="F26" s="284"/>
      <c r="G26" s="284"/>
      <c r="H26" s="284"/>
      <c r="I26" s="284"/>
      <c r="J26" s="284"/>
      <c r="K26" s="289">
        <v>1169.5840000000001</v>
      </c>
      <c r="L26" s="289">
        <v>1169.5840000000001</v>
      </c>
      <c r="M26" s="289">
        <v>1169.5840000000001</v>
      </c>
      <c r="N26" s="120"/>
      <c r="O26" s="120"/>
      <c r="P26" s="120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5">
        <f t="shared" si="1"/>
        <v>1169.5840000000001</v>
      </c>
      <c r="AJ26" s="285">
        <f t="shared" si="2"/>
        <v>1169.5840000000001</v>
      </c>
      <c r="AK26" s="285">
        <f t="shared" si="5"/>
        <v>1169.5840000000001</v>
      </c>
      <c r="AL26" s="285">
        <f t="shared" si="5"/>
        <v>1169.5840000000001</v>
      </c>
      <c r="AM26" s="311">
        <f t="shared" si="4"/>
        <v>1</v>
      </c>
    </row>
    <row r="27" spans="1:39" x14ac:dyDescent="0.25">
      <c r="A27" s="274">
        <v>25</v>
      </c>
      <c r="B27" s="481"/>
      <c r="C27" s="274" t="s">
        <v>207</v>
      </c>
      <c r="D27" s="290" t="s">
        <v>221</v>
      </c>
      <c r="E27" s="284"/>
      <c r="F27" s="284"/>
      <c r="G27" s="284"/>
      <c r="H27" s="284"/>
      <c r="I27" s="284"/>
      <c r="J27" s="284"/>
      <c r="K27" s="121">
        <v>33238</v>
      </c>
      <c r="L27" s="121">
        <v>33238</v>
      </c>
      <c r="M27" s="121">
        <v>33238</v>
      </c>
      <c r="N27" s="120"/>
      <c r="O27" s="120"/>
      <c r="P27" s="120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5">
        <f>E27+H27+K27+Q27+T27+W27+AF27</f>
        <v>33238</v>
      </c>
      <c r="AJ27" s="285">
        <f t="shared" si="2"/>
        <v>33238</v>
      </c>
      <c r="AK27" s="285">
        <f t="shared" si="5"/>
        <v>33238</v>
      </c>
      <c r="AL27" s="285">
        <f t="shared" si="5"/>
        <v>33238</v>
      </c>
      <c r="AM27" s="311">
        <f t="shared" si="4"/>
        <v>1</v>
      </c>
    </row>
    <row r="28" spans="1:39" x14ac:dyDescent="0.25">
      <c r="A28" s="274">
        <v>26</v>
      </c>
      <c r="B28" s="481"/>
      <c r="C28" s="274" t="s">
        <v>207</v>
      </c>
      <c r="D28" s="283" t="s">
        <v>223</v>
      </c>
      <c r="E28" s="284"/>
      <c r="F28" s="284"/>
      <c r="G28" s="284"/>
      <c r="H28" s="284"/>
      <c r="I28" s="284"/>
      <c r="J28" s="284"/>
      <c r="K28" s="121">
        <v>14138.16</v>
      </c>
      <c r="L28" s="121">
        <v>12989.76</v>
      </c>
      <c r="M28" s="121">
        <v>12989.76</v>
      </c>
      <c r="N28" s="120"/>
      <c r="O28" s="120"/>
      <c r="P28" s="120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5">
        <f>E28+H28+K28+Q28+T28+W28+AF28</f>
        <v>14138.16</v>
      </c>
      <c r="AJ28" s="285">
        <f t="shared" si="2"/>
        <v>12989.76</v>
      </c>
      <c r="AK28" s="285">
        <f t="shared" si="5"/>
        <v>12989.76</v>
      </c>
      <c r="AL28" s="285">
        <f t="shared" si="5"/>
        <v>12989.76</v>
      </c>
      <c r="AM28" s="311">
        <f t="shared" si="4"/>
        <v>1</v>
      </c>
    </row>
    <row r="29" spans="1:39" x14ac:dyDescent="0.25">
      <c r="A29" s="274">
        <v>27</v>
      </c>
      <c r="B29" s="481"/>
      <c r="C29" s="274" t="s">
        <v>213</v>
      </c>
      <c r="D29" s="283" t="s">
        <v>224</v>
      </c>
      <c r="E29" s="284"/>
      <c r="F29" s="284"/>
      <c r="G29" s="284"/>
      <c r="H29" s="284"/>
      <c r="I29" s="284"/>
      <c r="J29" s="284"/>
      <c r="K29" s="121">
        <v>34830</v>
      </c>
      <c r="L29" s="121">
        <v>38038</v>
      </c>
      <c r="M29" s="121">
        <v>38038</v>
      </c>
      <c r="N29" s="120"/>
      <c r="O29" s="120"/>
      <c r="P29" s="120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5">
        <f>E29+H29+K29+Q29+T29+W29+AF29</f>
        <v>34830</v>
      </c>
      <c r="AJ29" s="285">
        <f t="shared" si="2"/>
        <v>38038</v>
      </c>
      <c r="AK29" s="285">
        <f t="shared" si="5"/>
        <v>38038</v>
      </c>
      <c r="AL29" s="285">
        <f t="shared" si="5"/>
        <v>38038</v>
      </c>
      <c r="AM29" s="311">
        <f t="shared" si="4"/>
        <v>1</v>
      </c>
    </row>
    <row r="30" spans="1:39" x14ac:dyDescent="0.25">
      <c r="A30" s="274">
        <v>28</v>
      </c>
      <c r="B30" s="481"/>
      <c r="C30" s="274" t="s">
        <v>207</v>
      </c>
      <c r="D30" s="283" t="s">
        <v>222</v>
      </c>
      <c r="E30" s="284"/>
      <c r="F30" s="284"/>
      <c r="G30" s="284"/>
      <c r="H30" s="284"/>
      <c r="I30" s="284"/>
      <c r="J30" s="284"/>
      <c r="K30" s="121">
        <v>37364.481</v>
      </c>
      <c r="L30" s="121">
        <v>33607.586000000003</v>
      </c>
      <c r="M30" s="121">
        <v>33607.586000000003</v>
      </c>
      <c r="N30" s="120"/>
      <c r="O30" s="120"/>
      <c r="P30" s="120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5">
        <f t="shared" si="1"/>
        <v>37364.481</v>
      </c>
      <c r="AJ30" s="285">
        <f t="shared" si="2"/>
        <v>33607.586000000003</v>
      </c>
      <c r="AK30" s="285">
        <f t="shared" si="5"/>
        <v>33607.586000000003</v>
      </c>
      <c r="AL30" s="285">
        <f t="shared" si="5"/>
        <v>33607.586000000003</v>
      </c>
      <c r="AM30" s="311">
        <f t="shared" si="4"/>
        <v>1</v>
      </c>
    </row>
    <row r="31" spans="1:39" x14ac:dyDescent="0.25">
      <c r="A31" s="274">
        <v>29</v>
      </c>
      <c r="B31" s="481"/>
      <c r="C31" s="274" t="s">
        <v>207</v>
      </c>
      <c r="D31" s="272" t="s">
        <v>417</v>
      </c>
      <c r="E31" s="284"/>
      <c r="F31" s="284"/>
      <c r="G31" s="284"/>
      <c r="H31" s="284"/>
      <c r="I31" s="284"/>
      <c r="J31" s="284"/>
      <c r="K31" s="121">
        <v>625.86</v>
      </c>
      <c r="L31" s="121">
        <v>357.96</v>
      </c>
      <c r="M31" s="121">
        <v>357.96</v>
      </c>
      <c r="N31" s="120"/>
      <c r="O31" s="120"/>
      <c r="P31" s="120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5">
        <f t="shared" si="1"/>
        <v>625.86</v>
      </c>
      <c r="AJ31" s="285">
        <f t="shared" si="2"/>
        <v>357.96</v>
      </c>
      <c r="AK31" s="285">
        <f t="shared" si="5"/>
        <v>357.96</v>
      </c>
      <c r="AL31" s="285">
        <f t="shared" si="5"/>
        <v>357.96</v>
      </c>
      <c r="AM31" s="311">
        <f t="shared" si="4"/>
        <v>1</v>
      </c>
    </row>
    <row r="32" spans="1:39" x14ac:dyDescent="0.25">
      <c r="A32" s="274">
        <v>30</v>
      </c>
      <c r="B32" s="481">
        <v>130</v>
      </c>
      <c r="C32" s="274" t="s">
        <v>207</v>
      </c>
      <c r="D32" s="283" t="s">
        <v>225</v>
      </c>
      <c r="E32" s="284"/>
      <c r="F32" s="284"/>
      <c r="G32" s="284"/>
      <c r="H32" s="284"/>
      <c r="I32" s="284"/>
      <c r="J32" s="284"/>
      <c r="K32" s="291">
        <v>4400.7700000000004</v>
      </c>
      <c r="L32" s="291">
        <v>4400.7700000000004</v>
      </c>
      <c r="M32" s="291">
        <v>4400.7700000000004</v>
      </c>
      <c r="N32" s="120"/>
      <c r="O32" s="120"/>
      <c r="P32" s="120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5">
        <f t="shared" si="1"/>
        <v>4400.7700000000004</v>
      </c>
      <c r="AJ32" s="285">
        <f t="shared" si="2"/>
        <v>4400.7700000000004</v>
      </c>
      <c r="AK32" s="285">
        <f t="shared" si="5"/>
        <v>4400.7700000000004</v>
      </c>
      <c r="AL32" s="285">
        <f t="shared" si="5"/>
        <v>4400.7700000000004</v>
      </c>
      <c r="AM32" s="311">
        <f t="shared" si="4"/>
        <v>1</v>
      </c>
    </row>
    <row r="33" spans="1:39" x14ac:dyDescent="0.25">
      <c r="A33" s="274">
        <v>31</v>
      </c>
      <c r="B33" s="274">
        <v>134</v>
      </c>
      <c r="C33" s="274" t="s">
        <v>207</v>
      </c>
      <c r="D33" s="283" t="s">
        <v>226</v>
      </c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120">
        <v>86294</v>
      </c>
      <c r="R33" s="120">
        <v>84409.34</v>
      </c>
      <c r="S33" s="516">
        <v>78033.351999999999</v>
      </c>
      <c r="T33" s="284"/>
      <c r="U33" s="284">
        <v>1328</v>
      </c>
      <c r="V33" s="517">
        <v>1327.28</v>
      </c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5">
        <f t="shared" si="1"/>
        <v>86294</v>
      </c>
      <c r="AJ33" s="285">
        <f t="shared" si="2"/>
        <v>85737.34</v>
      </c>
      <c r="AK33" s="285">
        <f t="shared" si="5"/>
        <v>85737.34</v>
      </c>
      <c r="AL33" s="285">
        <f t="shared" si="5"/>
        <v>79360.631999999998</v>
      </c>
      <c r="AM33" s="311">
        <f t="shared" si="4"/>
        <v>0.92562507770826574</v>
      </c>
    </row>
    <row r="34" spans="1:39" x14ac:dyDescent="0.25">
      <c r="A34" s="274">
        <v>32</v>
      </c>
      <c r="B34" s="274">
        <v>135</v>
      </c>
      <c r="C34" s="274" t="s">
        <v>207</v>
      </c>
      <c r="D34" s="283" t="s">
        <v>227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120">
        <v>17204</v>
      </c>
      <c r="R34" s="120">
        <v>17760.66</v>
      </c>
      <c r="S34" s="516">
        <v>17760.66</v>
      </c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5">
        <f t="shared" si="1"/>
        <v>17204</v>
      </c>
      <c r="AJ34" s="285">
        <f t="shared" si="2"/>
        <v>17760.66</v>
      </c>
      <c r="AK34" s="285">
        <f t="shared" si="5"/>
        <v>17760.66</v>
      </c>
      <c r="AL34" s="285">
        <f t="shared" si="5"/>
        <v>17760.66</v>
      </c>
      <c r="AM34" s="311">
        <f t="shared" si="4"/>
        <v>1</v>
      </c>
    </row>
    <row r="35" spans="1:39" x14ac:dyDescent="0.25">
      <c r="A35" s="274">
        <v>33</v>
      </c>
      <c r="B35" s="274">
        <v>137</v>
      </c>
      <c r="C35" s="274" t="s">
        <v>207</v>
      </c>
      <c r="D35" s="283" t="s">
        <v>228</v>
      </c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120">
        <v>7875</v>
      </c>
      <c r="R35" s="120">
        <v>8644.6</v>
      </c>
      <c r="S35" s="516">
        <v>8644.6</v>
      </c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5">
        <f t="shared" si="1"/>
        <v>7875</v>
      </c>
      <c r="AJ35" s="285">
        <f t="shared" si="2"/>
        <v>8644.6</v>
      </c>
      <c r="AK35" s="285">
        <f t="shared" si="5"/>
        <v>8644.6</v>
      </c>
      <c r="AL35" s="285">
        <f t="shared" si="5"/>
        <v>8644.6</v>
      </c>
      <c r="AM35" s="311">
        <f t="shared" si="4"/>
        <v>1</v>
      </c>
    </row>
    <row r="36" spans="1:39" x14ac:dyDescent="0.25">
      <c r="A36" s="274">
        <v>34</v>
      </c>
      <c r="B36" s="274">
        <v>138</v>
      </c>
      <c r="C36" s="274" t="s">
        <v>207</v>
      </c>
      <c r="D36" s="283" t="s">
        <v>229</v>
      </c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120">
        <v>2000</v>
      </c>
      <c r="R36" s="120">
        <v>2000</v>
      </c>
      <c r="S36" s="516">
        <v>1389.0740000000001</v>
      </c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5">
        <f t="shared" si="1"/>
        <v>2000</v>
      </c>
      <c r="AJ36" s="285">
        <f t="shared" si="2"/>
        <v>2000</v>
      </c>
      <c r="AK36" s="285">
        <f t="shared" si="5"/>
        <v>2000</v>
      </c>
      <c r="AL36" s="285">
        <f t="shared" si="5"/>
        <v>1389.0740000000001</v>
      </c>
      <c r="AM36" s="311">
        <f t="shared" si="4"/>
        <v>0.69453700000000007</v>
      </c>
    </row>
    <row r="37" spans="1:39" x14ac:dyDescent="0.25">
      <c r="A37" s="274">
        <v>35</v>
      </c>
      <c r="B37" s="274">
        <v>139</v>
      </c>
      <c r="C37" s="274" t="s">
        <v>213</v>
      </c>
      <c r="D37" s="283" t="s">
        <v>230</v>
      </c>
      <c r="E37" s="284"/>
      <c r="F37" s="284">
        <v>1271</v>
      </c>
      <c r="G37" s="284">
        <v>1270.675</v>
      </c>
      <c r="H37" s="284"/>
      <c r="I37" s="284"/>
      <c r="J37" s="284"/>
      <c r="K37" s="284"/>
      <c r="L37" s="284"/>
      <c r="M37" s="284"/>
      <c r="N37" s="284"/>
      <c r="O37" s="284"/>
      <c r="P37" s="284"/>
      <c r="Q37" s="120">
        <v>2562</v>
      </c>
      <c r="R37" s="120">
        <v>1291</v>
      </c>
      <c r="S37" s="516">
        <v>856.14200000000005</v>
      </c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5">
        <f t="shared" si="1"/>
        <v>2562</v>
      </c>
      <c r="AJ37" s="285">
        <f t="shared" si="2"/>
        <v>2562</v>
      </c>
      <c r="AK37" s="285">
        <f t="shared" si="5"/>
        <v>2562</v>
      </c>
      <c r="AL37" s="285">
        <f t="shared" si="5"/>
        <v>2126.817</v>
      </c>
      <c r="AM37" s="311">
        <f t="shared" si="4"/>
        <v>0.83013934426229508</v>
      </c>
    </row>
    <row r="38" spans="1:39" x14ac:dyDescent="0.25">
      <c r="A38" s="274">
        <v>36</v>
      </c>
      <c r="B38" s="274">
        <v>140</v>
      </c>
      <c r="C38" s="274" t="s">
        <v>207</v>
      </c>
      <c r="D38" s="283" t="s">
        <v>231</v>
      </c>
      <c r="E38" s="120">
        <v>16000</v>
      </c>
      <c r="F38" s="120">
        <v>22807.9</v>
      </c>
      <c r="G38" s="120">
        <v>22579.851999999999</v>
      </c>
      <c r="H38" s="284"/>
      <c r="I38" s="284"/>
      <c r="J38" s="284"/>
      <c r="K38" s="284"/>
      <c r="L38" s="284"/>
      <c r="M38" s="284"/>
      <c r="N38" s="284"/>
      <c r="O38" s="284"/>
      <c r="P38" s="284"/>
      <c r="Q38" s="284">
        <v>1000</v>
      </c>
      <c r="R38" s="284">
        <v>2235.61</v>
      </c>
      <c r="S38" s="517">
        <v>1825.751</v>
      </c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5">
        <f t="shared" si="1"/>
        <v>17000</v>
      </c>
      <c r="AJ38" s="285">
        <f t="shared" si="2"/>
        <v>25043.510000000002</v>
      </c>
      <c r="AK38" s="285">
        <f>F38+I38+L38+R38+U38+X38+AD38+O38</f>
        <v>25043.510000000002</v>
      </c>
      <c r="AL38" s="285">
        <f>G38+J38+M38+S38+V38+Y38+AH38+AE38</f>
        <v>24405.602999999999</v>
      </c>
      <c r="AM38" s="311">
        <f t="shared" si="4"/>
        <v>0.97452805137937926</v>
      </c>
    </row>
    <row r="39" spans="1:39" x14ac:dyDescent="0.25">
      <c r="A39" s="274">
        <v>37</v>
      </c>
      <c r="B39" s="274">
        <v>141</v>
      </c>
      <c r="C39" s="274" t="s">
        <v>213</v>
      </c>
      <c r="D39" s="283" t="s">
        <v>232</v>
      </c>
      <c r="E39" s="120">
        <v>2500</v>
      </c>
      <c r="F39" s="120">
        <v>2976</v>
      </c>
      <c r="G39" s="120">
        <v>2975.94</v>
      </c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5">
        <f t="shared" si="1"/>
        <v>2500</v>
      </c>
      <c r="AJ39" s="285">
        <f t="shared" si="2"/>
        <v>2976</v>
      </c>
      <c r="AK39" s="285">
        <f t="shared" ref="AK39:AK40" si="6">F39+I39+L39+R39+U39+X39+AD39+O39</f>
        <v>2976</v>
      </c>
      <c r="AL39" s="285">
        <f>G39+J39+M39+S39+V39+Y39+AH39+AE39</f>
        <v>2975.94</v>
      </c>
      <c r="AM39" s="311">
        <f t="shared" si="4"/>
        <v>0.99997983870967744</v>
      </c>
    </row>
    <row r="40" spans="1:39" x14ac:dyDescent="0.25">
      <c r="A40" s="274">
        <v>38</v>
      </c>
      <c r="B40" s="274">
        <v>142</v>
      </c>
      <c r="C40" s="274" t="s">
        <v>213</v>
      </c>
      <c r="D40" s="283" t="s">
        <v>418</v>
      </c>
      <c r="E40" s="120"/>
      <c r="F40" s="120"/>
      <c r="G40" s="120"/>
      <c r="H40" s="284"/>
      <c r="I40" s="284"/>
      <c r="J40" s="284"/>
      <c r="K40" s="284"/>
      <c r="L40" s="284"/>
      <c r="M40" s="284"/>
      <c r="N40" s="284">
        <v>15000</v>
      </c>
      <c r="O40" s="284">
        <v>15000</v>
      </c>
      <c r="P40" s="284">
        <v>15000</v>
      </c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5">
        <f>E40+H40+K40+Q40+T40+W40+AF40+N40</f>
        <v>15000</v>
      </c>
      <c r="AJ40" s="285">
        <f t="shared" ref="AJ40" si="7">F40+I40+L40+R40+U40+X40+AG40+O40</f>
        <v>15000</v>
      </c>
      <c r="AK40" s="285">
        <f t="shared" si="6"/>
        <v>15000</v>
      </c>
      <c r="AL40" s="285">
        <f>G40+J40+M40+S40+V40+Y40+AH40+P40</f>
        <v>15000</v>
      </c>
      <c r="AM40" s="311">
        <f t="shared" si="4"/>
        <v>1</v>
      </c>
    </row>
    <row r="41" spans="1:39" x14ac:dyDescent="0.25">
      <c r="A41" s="274">
        <v>39</v>
      </c>
      <c r="B41" s="274">
        <v>124</v>
      </c>
      <c r="C41" s="274" t="s">
        <v>207</v>
      </c>
      <c r="D41" s="283" t="s">
        <v>330</v>
      </c>
      <c r="E41" s="120"/>
      <c r="F41" s="120"/>
      <c r="G41" s="120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>
        <v>22555.454000000002</v>
      </c>
      <c r="AG41" s="284">
        <v>27832.904999999999</v>
      </c>
      <c r="AH41" s="284">
        <v>27832.904999999999</v>
      </c>
      <c r="AI41" s="285">
        <f t="shared" si="1"/>
        <v>22555.454000000002</v>
      </c>
      <c r="AJ41" s="285">
        <f t="shared" si="2"/>
        <v>27832.904999999999</v>
      </c>
      <c r="AK41" s="285">
        <f t="shared" si="5"/>
        <v>27832.904999999999</v>
      </c>
      <c r="AL41" s="285">
        <f t="shared" si="5"/>
        <v>27832.904999999999</v>
      </c>
      <c r="AM41" s="311">
        <f t="shared" si="4"/>
        <v>1</v>
      </c>
    </row>
    <row r="42" spans="1:39" x14ac:dyDescent="0.25">
      <c r="A42" s="274">
        <v>40</v>
      </c>
      <c r="B42" s="274">
        <v>124</v>
      </c>
      <c r="C42" s="274" t="s">
        <v>213</v>
      </c>
      <c r="D42" s="283" t="s">
        <v>330</v>
      </c>
      <c r="E42" s="120"/>
      <c r="F42" s="120"/>
      <c r="G42" s="120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>
        <v>63246.546000000002</v>
      </c>
      <c r="AG42" s="284">
        <v>63746.434999999998</v>
      </c>
      <c r="AH42" s="284">
        <v>63746.434999999998</v>
      </c>
      <c r="AI42" s="285">
        <f t="shared" si="1"/>
        <v>63246.546000000002</v>
      </c>
      <c r="AJ42" s="285">
        <f t="shared" si="2"/>
        <v>63746.434999999998</v>
      </c>
      <c r="AK42" s="285">
        <f t="shared" si="5"/>
        <v>63746.434999999998</v>
      </c>
      <c r="AL42" s="285">
        <f t="shared" si="5"/>
        <v>63746.434999999998</v>
      </c>
      <c r="AM42" s="311">
        <f t="shared" si="4"/>
        <v>1</v>
      </c>
    </row>
    <row r="43" spans="1:39" x14ac:dyDescent="0.25">
      <c r="A43" s="274">
        <v>41</v>
      </c>
      <c r="B43" s="274">
        <v>160</v>
      </c>
      <c r="C43" s="274" t="s">
        <v>213</v>
      </c>
      <c r="D43" s="283" t="s">
        <v>419</v>
      </c>
      <c r="E43" s="120"/>
      <c r="F43" s="120"/>
      <c r="G43" s="120"/>
      <c r="H43" s="284"/>
      <c r="I43" s="284"/>
      <c r="J43" s="284"/>
      <c r="K43" s="284"/>
      <c r="L43" s="284"/>
      <c r="M43" s="284"/>
      <c r="N43" s="284"/>
      <c r="O43" s="284"/>
      <c r="P43" s="284"/>
      <c r="Q43" s="284">
        <v>1767</v>
      </c>
      <c r="R43" s="284">
        <v>1767</v>
      </c>
      <c r="S43" s="517">
        <v>1767</v>
      </c>
      <c r="T43" s="284">
        <v>104426</v>
      </c>
      <c r="U43" s="284">
        <v>94646.054999999993</v>
      </c>
      <c r="V43" s="284">
        <v>46439.527000000002</v>
      </c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5">
        <f t="shared" si="1"/>
        <v>106193</v>
      </c>
      <c r="AJ43" s="285">
        <f t="shared" si="2"/>
        <v>96413.054999999993</v>
      </c>
      <c r="AK43" s="285">
        <f t="shared" si="5"/>
        <v>96413.054999999993</v>
      </c>
      <c r="AL43" s="285">
        <f t="shared" si="5"/>
        <v>48206.527000000002</v>
      </c>
      <c r="AM43" s="311">
        <f t="shared" si="4"/>
        <v>0.49999999481398039</v>
      </c>
    </row>
    <row r="44" spans="1:39" x14ac:dyDescent="0.25">
      <c r="A44" s="274">
        <v>42</v>
      </c>
      <c r="B44" s="274">
        <v>159</v>
      </c>
      <c r="C44" s="274" t="s">
        <v>213</v>
      </c>
      <c r="D44" s="283" t="s">
        <v>420</v>
      </c>
      <c r="E44" s="120"/>
      <c r="F44" s="120"/>
      <c r="G44" s="120"/>
      <c r="H44" s="284"/>
      <c r="I44" s="284"/>
      <c r="J44" s="284"/>
      <c r="K44" s="284"/>
      <c r="L44" s="284"/>
      <c r="M44" s="284"/>
      <c r="N44" s="284"/>
      <c r="O44" s="284"/>
      <c r="P44" s="284"/>
      <c r="Q44" s="284">
        <v>685</v>
      </c>
      <c r="R44" s="284">
        <v>685</v>
      </c>
      <c r="S44" s="517">
        <v>0</v>
      </c>
      <c r="T44" s="284">
        <v>44082</v>
      </c>
      <c r="U44" s="284">
        <v>44082</v>
      </c>
      <c r="V44" s="284">
        <v>0</v>
      </c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5">
        <f t="shared" si="1"/>
        <v>44767</v>
      </c>
      <c r="AJ44" s="285"/>
      <c r="AK44" s="285">
        <f t="shared" si="5"/>
        <v>44767</v>
      </c>
      <c r="AL44" s="285">
        <f t="shared" si="5"/>
        <v>0</v>
      </c>
      <c r="AM44" s="311">
        <f t="shared" si="4"/>
        <v>0</v>
      </c>
    </row>
    <row r="45" spans="1:39" x14ac:dyDescent="0.25">
      <c r="A45" s="274">
        <v>43</v>
      </c>
      <c r="B45" s="274">
        <v>145</v>
      </c>
      <c r="C45" s="274" t="s">
        <v>213</v>
      </c>
      <c r="D45" s="77" t="s">
        <v>336</v>
      </c>
      <c r="E45" s="120"/>
      <c r="F45" s="120"/>
      <c r="G45" s="120">
        <v>3.4000000000000002E-2</v>
      </c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>
        <v>40964.417000000001</v>
      </c>
      <c r="AG45" s="284">
        <v>40964.417000000001</v>
      </c>
      <c r="AH45" s="284">
        <v>40964.417000000001</v>
      </c>
      <c r="AI45" s="285">
        <f t="shared" si="1"/>
        <v>40964.417000000001</v>
      </c>
      <c r="AJ45" s="285">
        <f t="shared" si="2"/>
        <v>40964.417000000001</v>
      </c>
      <c r="AK45" s="285">
        <f t="shared" si="5"/>
        <v>40964.417000000001</v>
      </c>
      <c r="AL45" s="285">
        <f t="shared" si="5"/>
        <v>40964.451000000001</v>
      </c>
      <c r="AM45" s="311">
        <f t="shared" si="4"/>
        <v>1.0000008299886216</v>
      </c>
    </row>
    <row r="46" spans="1:39" x14ac:dyDescent="0.25">
      <c r="A46" s="274">
        <v>44</v>
      </c>
      <c r="B46" s="274">
        <v>146</v>
      </c>
      <c r="C46" s="274" t="s">
        <v>213</v>
      </c>
      <c r="D46" s="77" t="s">
        <v>337</v>
      </c>
      <c r="E46" s="120"/>
      <c r="F46" s="120"/>
      <c r="G46" s="120">
        <v>0.155</v>
      </c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>
        <v>208214.476</v>
      </c>
      <c r="AG46" s="284">
        <v>208214.476</v>
      </c>
      <c r="AH46" s="284">
        <v>208214.476</v>
      </c>
      <c r="AI46" s="285">
        <f t="shared" si="1"/>
        <v>208214.476</v>
      </c>
      <c r="AJ46" s="285">
        <f t="shared" si="2"/>
        <v>208214.476</v>
      </c>
      <c r="AK46" s="285">
        <f t="shared" si="5"/>
        <v>208214.476</v>
      </c>
      <c r="AL46" s="285">
        <f t="shared" si="5"/>
        <v>208214.63099999999</v>
      </c>
      <c r="AM46" s="311">
        <f t="shared" si="4"/>
        <v>1.0000007444247057</v>
      </c>
    </row>
    <row r="47" spans="1:39" x14ac:dyDescent="0.25">
      <c r="A47" s="274">
        <v>45</v>
      </c>
      <c r="B47" s="274">
        <v>147</v>
      </c>
      <c r="C47" s="274" t="s">
        <v>213</v>
      </c>
      <c r="D47" s="77" t="s">
        <v>339</v>
      </c>
      <c r="E47" s="120"/>
      <c r="F47" s="120"/>
      <c r="G47" s="120">
        <v>4.2999999999999997E-2</v>
      </c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>
        <v>47680.023999999998</v>
      </c>
      <c r="AG47" s="284">
        <v>47680.023999999998</v>
      </c>
      <c r="AH47" s="284">
        <v>47680.023999999998</v>
      </c>
      <c r="AI47" s="285">
        <f t="shared" si="1"/>
        <v>47680.023999999998</v>
      </c>
      <c r="AJ47" s="285">
        <f t="shared" si="2"/>
        <v>47680.023999999998</v>
      </c>
      <c r="AK47" s="285">
        <f t="shared" si="5"/>
        <v>47680.023999999998</v>
      </c>
      <c r="AL47" s="285">
        <f t="shared" si="5"/>
        <v>47680.066999999995</v>
      </c>
      <c r="AM47" s="311">
        <f t="shared" si="4"/>
        <v>1.0000009018451836</v>
      </c>
    </row>
    <row r="48" spans="1:39" x14ac:dyDescent="0.25">
      <c r="A48" s="274">
        <v>46</v>
      </c>
      <c r="B48" s="274">
        <v>148</v>
      </c>
      <c r="C48" s="76" t="s">
        <v>213</v>
      </c>
      <c r="D48" s="77" t="s">
        <v>341</v>
      </c>
      <c r="E48" s="120"/>
      <c r="F48" s="120"/>
      <c r="G48" s="120"/>
      <c r="H48" s="284"/>
      <c r="I48" s="284"/>
      <c r="J48" s="284"/>
      <c r="K48" s="284"/>
      <c r="L48" s="284"/>
      <c r="M48" s="284"/>
      <c r="N48" s="284"/>
      <c r="O48" s="284"/>
      <c r="P48" s="284"/>
      <c r="Q48" s="284">
        <v>11355</v>
      </c>
      <c r="R48" s="284">
        <v>11355.5</v>
      </c>
      <c r="S48" s="517">
        <v>11355.38</v>
      </c>
      <c r="T48" s="284">
        <v>159401</v>
      </c>
      <c r="U48" s="284">
        <v>159400.5</v>
      </c>
      <c r="V48" s="284">
        <v>159400.43799999999</v>
      </c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5">
        <f t="shared" si="1"/>
        <v>170756</v>
      </c>
      <c r="AJ48" s="285">
        <f t="shared" si="2"/>
        <v>170756</v>
      </c>
      <c r="AK48" s="285">
        <f t="shared" si="5"/>
        <v>170756</v>
      </c>
      <c r="AL48" s="285">
        <f t="shared" si="5"/>
        <v>170755.818</v>
      </c>
      <c r="AM48" s="311">
        <f t="shared" si="4"/>
        <v>0.99999893415165497</v>
      </c>
    </row>
    <row r="49" spans="1:39" x14ac:dyDescent="0.25">
      <c r="A49" s="274">
        <v>47</v>
      </c>
      <c r="B49" s="274">
        <v>150</v>
      </c>
      <c r="C49" s="76" t="s">
        <v>213</v>
      </c>
      <c r="D49" s="77" t="s">
        <v>342</v>
      </c>
      <c r="E49" s="120"/>
      <c r="F49" s="120"/>
      <c r="G49" s="120">
        <v>0.04</v>
      </c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>
        <v>55156.603999999999</v>
      </c>
      <c r="AG49" s="284">
        <v>55156.603999999999</v>
      </c>
      <c r="AH49" s="284">
        <v>55156.603999999999</v>
      </c>
      <c r="AI49" s="285">
        <f t="shared" si="1"/>
        <v>55156.603999999999</v>
      </c>
      <c r="AJ49" s="285">
        <f t="shared" si="2"/>
        <v>55156.603999999999</v>
      </c>
      <c r="AK49" s="285">
        <f t="shared" si="5"/>
        <v>55156.603999999999</v>
      </c>
      <c r="AL49" s="285">
        <f t="shared" si="5"/>
        <v>55156.644</v>
      </c>
      <c r="AM49" s="311">
        <f t="shared" si="4"/>
        <v>1.00000072520781</v>
      </c>
    </row>
    <row r="50" spans="1:39" x14ac:dyDescent="0.25">
      <c r="A50" s="274">
        <v>48</v>
      </c>
      <c r="B50" s="274">
        <v>156</v>
      </c>
      <c r="C50" s="274" t="s">
        <v>213</v>
      </c>
      <c r="D50" s="77" t="s">
        <v>377</v>
      </c>
      <c r="E50" s="120"/>
      <c r="F50" s="120"/>
      <c r="G50" s="120">
        <v>0.02</v>
      </c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>
        <v>20156.232</v>
      </c>
      <c r="AG50" s="284">
        <v>20156.232</v>
      </c>
      <c r="AH50" s="284">
        <v>20156.232</v>
      </c>
      <c r="AI50" s="285">
        <f t="shared" si="1"/>
        <v>20156.232</v>
      </c>
      <c r="AJ50" s="285"/>
      <c r="AK50" s="285">
        <f t="shared" ref="AK50:AL51" si="8">F50+I50+L50+R50+U50+X50+AG50+AA50</f>
        <v>20156.232</v>
      </c>
      <c r="AL50" s="285">
        <f t="shared" si="8"/>
        <v>20156.252</v>
      </c>
      <c r="AM50" s="311">
        <f t="shared" si="4"/>
        <v>1.0000009922489481</v>
      </c>
    </row>
    <row r="51" spans="1:39" x14ac:dyDescent="0.25">
      <c r="A51" s="274">
        <v>49</v>
      </c>
      <c r="B51" s="274">
        <v>154</v>
      </c>
      <c r="C51" s="274" t="s">
        <v>207</v>
      </c>
      <c r="D51" s="77" t="s">
        <v>373</v>
      </c>
      <c r="E51" s="120"/>
      <c r="F51" s="120"/>
      <c r="G51" s="120"/>
      <c r="H51" s="284"/>
      <c r="I51" s="284"/>
      <c r="J51" s="284"/>
      <c r="K51" s="284"/>
      <c r="L51" s="284">
        <v>1182.3430000000001</v>
      </c>
      <c r="M51" s="284">
        <v>1182.3430000000001</v>
      </c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5">
        <f t="shared" si="1"/>
        <v>0</v>
      </c>
      <c r="AJ51" s="285"/>
      <c r="AK51" s="285">
        <f t="shared" si="8"/>
        <v>1182.3430000000001</v>
      </c>
      <c r="AL51" s="285">
        <f t="shared" si="8"/>
        <v>1182.3430000000001</v>
      </c>
      <c r="AM51" s="311">
        <f t="shared" si="4"/>
        <v>1</v>
      </c>
    </row>
    <row r="52" spans="1:39" x14ac:dyDescent="0.25">
      <c r="A52" s="274">
        <v>50</v>
      </c>
      <c r="B52" s="274">
        <v>161</v>
      </c>
      <c r="C52" s="274" t="s">
        <v>207</v>
      </c>
      <c r="D52" s="77" t="s">
        <v>421</v>
      </c>
      <c r="E52" s="120"/>
      <c r="F52" s="120"/>
      <c r="G52" s="120"/>
      <c r="H52" s="284"/>
      <c r="I52" s="284"/>
      <c r="J52" s="284"/>
      <c r="K52" s="284"/>
      <c r="L52" s="480">
        <v>943.33600000000001</v>
      </c>
      <c r="M52" s="480">
        <v>943.33600000000001</v>
      </c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5">
        <f t="shared" si="1"/>
        <v>0</v>
      </c>
      <c r="AJ52" s="285"/>
      <c r="AK52" s="285">
        <f>F52+I52+L52+R52+U52+X52+AG52+AA52+O52</f>
        <v>943.33600000000001</v>
      </c>
      <c r="AL52" s="285">
        <f>G52+J52+M52+S52+V52+Y52+AH52+AB52+P52</f>
        <v>943.33600000000001</v>
      </c>
      <c r="AM52" s="311">
        <f t="shared" si="4"/>
        <v>1</v>
      </c>
    </row>
    <row r="53" spans="1:39" x14ac:dyDescent="0.25">
      <c r="A53" s="274">
        <v>51</v>
      </c>
      <c r="B53" s="274">
        <v>153</v>
      </c>
      <c r="C53" s="274" t="s">
        <v>207</v>
      </c>
      <c r="D53" s="77" t="s">
        <v>422</v>
      </c>
      <c r="E53" s="120"/>
      <c r="F53" s="120"/>
      <c r="G53" s="120"/>
      <c r="H53" s="284"/>
      <c r="I53" s="284"/>
      <c r="J53" s="284"/>
      <c r="K53" s="284"/>
      <c r="L53" s="479">
        <v>6227.0789999999997</v>
      </c>
      <c r="M53" s="479">
        <v>6227.0789999999997</v>
      </c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5">
        <f t="shared" si="1"/>
        <v>0</v>
      </c>
      <c r="AJ53" s="285"/>
      <c r="AK53" s="285">
        <f t="shared" ref="AK53:AK69" si="9">F53+I53+L53+R53+U53+X53+AG53+AA53+O53</f>
        <v>6227.0789999999997</v>
      </c>
      <c r="AL53" s="285">
        <f t="shared" ref="AL53:AL69" si="10">G53+J53+M53+S53+V53+Y53+AH53+AB53+P53</f>
        <v>6227.0789999999997</v>
      </c>
      <c r="AM53" s="311">
        <f t="shared" si="4"/>
        <v>1</v>
      </c>
    </row>
    <row r="54" spans="1:39" x14ac:dyDescent="0.25">
      <c r="A54" s="274">
        <v>52</v>
      </c>
      <c r="B54" s="274">
        <v>153</v>
      </c>
      <c r="C54" s="274" t="s">
        <v>213</v>
      </c>
      <c r="D54" s="77" t="s">
        <v>422</v>
      </c>
      <c r="E54" s="120"/>
      <c r="F54" s="120"/>
      <c r="G54" s="120"/>
      <c r="H54" s="284"/>
      <c r="I54" s="284"/>
      <c r="J54" s="284"/>
      <c r="K54" s="284"/>
      <c r="L54" s="479">
        <v>6454.3789999999999</v>
      </c>
      <c r="M54" s="479">
        <v>6454.3789999999999</v>
      </c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5">
        <f t="shared" si="1"/>
        <v>0</v>
      </c>
      <c r="AJ54" s="285"/>
      <c r="AK54" s="285">
        <f t="shared" si="9"/>
        <v>6454.3789999999999</v>
      </c>
      <c r="AL54" s="285">
        <f t="shared" si="10"/>
        <v>6454.3789999999999</v>
      </c>
      <c r="AM54" s="311">
        <f t="shared" si="4"/>
        <v>1</v>
      </c>
    </row>
    <row r="55" spans="1:39" x14ac:dyDescent="0.25">
      <c r="A55" s="274">
        <v>53</v>
      </c>
      <c r="B55" s="274"/>
      <c r="C55" s="274" t="s">
        <v>207</v>
      </c>
      <c r="D55" s="77" t="s">
        <v>423</v>
      </c>
      <c r="E55" s="120"/>
      <c r="F55" s="120"/>
      <c r="G55" s="120"/>
      <c r="H55" s="284"/>
      <c r="I55" s="284"/>
      <c r="J55" s="284"/>
      <c r="K55" s="284"/>
      <c r="L55" s="284">
        <v>636.4</v>
      </c>
      <c r="M55" s="284">
        <v>636.4</v>
      </c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5">
        <f t="shared" si="1"/>
        <v>0</v>
      </c>
      <c r="AJ55" s="285"/>
      <c r="AK55" s="285">
        <f t="shared" si="9"/>
        <v>636.4</v>
      </c>
      <c r="AL55" s="285">
        <f t="shared" si="10"/>
        <v>636.4</v>
      </c>
      <c r="AM55" s="311">
        <f t="shared" si="4"/>
        <v>1</v>
      </c>
    </row>
    <row r="56" spans="1:39" x14ac:dyDescent="0.25">
      <c r="A56" s="274">
        <v>54</v>
      </c>
      <c r="B56" s="274">
        <v>169</v>
      </c>
      <c r="C56" s="274" t="s">
        <v>207</v>
      </c>
      <c r="D56" s="77" t="s">
        <v>424</v>
      </c>
      <c r="E56" s="120"/>
      <c r="F56" s="120"/>
      <c r="G56" s="120"/>
      <c r="H56" s="284"/>
      <c r="I56" s="284"/>
      <c r="J56" s="284"/>
      <c r="K56" s="284"/>
      <c r="L56" s="480">
        <v>185.804</v>
      </c>
      <c r="M56" s="480">
        <v>185.804</v>
      </c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5">
        <f t="shared" si="1"/>
        <v>0</v>
      </c>
      <c r="AJ56" s="285"/>
      <c r="AK56" s="285">
        <f t="shared" si="9"/>
        <v>185.804</v>
      </c>
      <c r="AL56" s="285">
        <f t="shared" si="10"/>
        <v>185.804</v>
      </c>
      <c r="AM56" s="311">
        <f t="shared" si="4"/>
        <v>1</v>
      </c>
    </row>
    <row r="57" spans="1:39" x14ac:dyDescent="0.25">
      <c r="A57" s="274">
        <v>55</v>
      </c>
      <c r="B57" s="274"/>
      <c r="C57" s="274" t="s">
        <v>207</v>
      </c>
      <c r="D57" s="77" t="s">
        <v>425</v>
      </c>
      <c r="E57" s="120"/>
      <c r="F57" s="120"/>
      <c r="G57" s="120"/>
      <c r="H57" s="284"/>
      <c r="I57" s="284"/>
      <c r="J57" s="284"/>
      <c r="K57" s="284"/>
      <c r="L57" s="284">
        <v>669.92499999999995</v>
      </c>
      <c r="M57" s="284">
        <v>669.92499999999995</v>
      </c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5">
        <f t="shared" si="1"/>
        <v>0</v>
      </c>
      <c r="AJ57" s="285"/>
      <c r="AK57" s="285">
        <f t="shared" si="9"/>
        <v>669.92499999999995</v>
      </c>
      <c r="AL57" s="285">
        <f t="shared" si="10"/>
        <v>669.92499999999995</v>
      </c>
      <c r="AM57" s="311">
        <f t="shared" si="4"/>
        <v>1</v>
      </c>
    </row>
    <row r="58" spans="1:39" x14ac:dyDescent="0.25">
      <c r="A58" s="274">
        <v>56</v>
      </c>
      <c r="B58" s="274"/>
      <c r="C58" s="274" t="s">
        <v>213</v>
      </c>
      <c r="D58" s="77" t="s">
        <v>533</v>
      </c>
      <c r="E58" s="120"/>
      <c r="F58" s="120"/>
      <c r="G58" s="120"/>
      <c r="H58" s="284"/>
      <c r="I58" s="284"/>
      <c r="J58" s="284"/>
      <c r="K58" s="284"/>
      <c r="L58" s="284">
        <v>2940.05</v>
      </c>
      <c r="M58" s="284">
        <v>2940.05</v>
      </c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5"/>
      <c r="AJ58" s="285"/>
      <c r="AK58" s="285">
        <f t="shared" si="9"/>
        <v>2940.05</v>
      </c>
      <c r="AL58" s="285">
        <f t="shared" si="10"/>
        <v>2940.05</v>
      </c>
      <c r="AM58" s="311">
        <f t="shared" si="4"/>
        <v>1</v>
      </c>
    </row>
    <row r="59" spans="1:39" x14ac:dyDescent="0.25">
      <c r="A59" s="274">
        <v>57</v>
      </c>
      <c r="B59" s="274"/>
      <c r="C59" s="274" t="s">
        <v>213</v>
      </c>
      <c r="D59" s="77" t="s">
        <v>534</v>
      </c>
      <c r="E59" s="120"/>
      <c r="F59" s="120"/>
      <c r="G59" s="120"/>
      <c r="H59" s="284"/>
      <c r="I59" s="284"/>
      <c r="J59" s="284"/>
      <c r="K59" s="284"/>
      <c r="L59" s="284">
        <v>11500</v>
      </c>
      <c r="M59" s="284">
        <v>11500</v>
      </c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5"/>
      <c r="AJ59" s="285"/>
      <c r="AK59" s="285">
        <f t="shared" si="9"/>
        <v>11500</v>
      </c>
      <c r="AL59" s="285">
        <f t="shared" si="10"/>
        <v>11500</v>
      </c>
      <c r="AM59" s="311">
        <f t="shared" si="4"/>
        <v>1</v>
      </c>
    </row>
    <row r="60" spans="1:39" x14ac:dyDescent="0.25">
      <c r="A60" s="274">
        <v>58</v>
      </c>
      <c r="B60" s="274"/>
      <c r="C60" s="274" t="s">
        <v>207</v>
      </c>
      <c r="D60" s="77" t="s">
        <v>535</v>
      </c>
      <c r="E60" s="120"/>
      <c r="F60" s="120"/>
      <c r="G60" s="120"/>
      <c r="H60" s="284"/>
      <c r="I60" s="284"/>
      <c r="J60" s="284"/>
      <c r="K60" s="284"/>
      <c r="L60" s="284">
        <v>3240</v>
      </c>
      <c r="M60" s="284">
        <v>3240</v>
      </c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5"/>
      <c r="AJ60" s="285"/>
      <c r="AK60" s="285">
        <f t="shared" si="9"/>
        <v>3240</v>
      </c>
      <c r="AL60" s="285">
        <f t="shared" si="10"/>
        <v>3240</v>
      </c>
      <c r="AM60" s="311">
        <f t="shared" si="4"/>
        <v>1</v>
      </c>
    </row>
    <row r="61" spans="1:39" x14ac:dyDescent="0.25">
      <c r="A61" s="274">
        <v>59</v>
      </c>
      <c r="B61" s="274">
        <v>149</v>
      </c>
      <c r="C61" s="274" t="s">
        <v>213</v>
      </c>
      <c r="D61" s="77" t="s">
        <v>426</v>
      </c>
      <c r="E61" s="120"/>
      <c r="F61" s="120"/>
      <c r="G61" s="120">
        <v>1.0999999999999999E-2</v>
      </c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>
        <v>15352.2</v>
      </c>
      <c r="S61" s="517">
        <v>15352.2</v>
      </c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5">
        <f t="shared" si="1"/>
        <v>0</v>
      </c>
      <c r="AJ61" s="285"/>
      <c r="AK61" s="285">
        <f t="shared" si="9"/>
        <v>15352.2</v>
      </c>
      <c r="AL61" s="285">
        <f t="shared" si="10"/>
        <v>15352.211000000001</v>
      </c>
      <c r="AM61" s="311">
        <f t="shared" si="4"/>
        <v>1.000000716509686</v>
      </c>
    </row>
    <row r="62" spans="1:39" x14ac:dyDescent="0.25">
      <c r="A62" s="274">
        <v>60</v>
      </c>
      <c r="B62" s="274">
        <v>115</v>
      </c>
      <c r="C62" s="274" t="s">
        <v>213</v>
      </c>
      <c r="D62" s="77" t="s">
        <v>427</v>
      </c>
      <c r="E62" s="120"/>
      <c r="F62" s="120"/>
      <c r="G62" s="120">
        <v>7.0000000000000001E-3</v>
      </c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>
        <v>8124.3</v>
      </c>
      <c r="S62" s="517">
        <v>8124.3</v>
      </c>
      <c r="T62" s="284"/>
      <c r="U62" s="284">
        <v>1270</v>
      </c>
      <c r="V62" s="284">
        <v>1270</v>
      </c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5">
        <f t="shared" si="1"/>
        <v>0</v>
      </c>
      <c r="AJ62" s="285"/>
      <c r="AK62" s="285">
        <f t="shared" si="9"/>
        <v>9394.2999999999993</v>
      </c>
      <c r="AL62" s="285">
        <f t="shared" si="10"/>
        <v>9394.3070000000007</v>
      </c>
      <c r="AM62" s="311">
        <f t="shared" si="4"/>
        <v>1.0000007451326869</v>
      </c>
    </row>
    <row r="63" spans="1:39" x14ac:dyDescent="0.25">
      <c r="A63" s="274">
        <v>61</v>
      </c>
      <c r="B63" s="274"/>
      <c r="C63" s="274" t="s">
        <v>213</v>
      </c>
      <c r="D63" s="77" t="s">
        <v>536</v>
      </c>
      <c r="E63" s="120"/>
      <c r="F63" s="120"/>
      <c r="G63" s="120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>
        <v>37243.444000000003</v>
      </c>
      <c r="AH63" s="284">
        <v>37243.444000000003</v>
      </c>
      <c r="AI63" s="285"/>
      <c r="AJ63" s="285"/>
      <c r="AK63" s="285">
        <f t="shared" si="9"/>
        <v>37243.444000000003</v>
      </c>
      <c r="AL63" s="285">
        <f t="shared" si="10"/>
        <v>37243.444000000003</v>
      </c>
      <c r="AM63" s="311">
        <f t="shared" si="4"/>
        <v>1</v>
      </c>
    </row>
    <row r="64" spans="1:39" x14ac:dyDescent="0.25">
      <c r="A64" s="274">
        <v>62</v>
      </c>
      <c r="B64" s="274">
        <v>125</v>
      </c>
      <c r="C64" s="274" t="s">
        <v>213</v>
      </c>
      <c r="D64" s="77" t="s">
        <v>519</v>
      </c>
      <c r="E64" s="120"/>
      <c r="F64" s="120">
        <v>103.1</v>
      </c>
      <c r="G64" s="120">
        <v>103</v>
      </c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5"/>
      <c r="AJ64" s="285"/>
      <c r="AK64" s="285">
        <f t="shared" si="9"/>
        <v>103.1</v>
      </c>
      <c r="AL64" s="285">
        <f t="shared" si="10"/>
        <v>103</v>
      </c>
      <c r="AM64" s="311">
        <f t="shared" si="4"/>
        <v>0.9990300678952474</v>
      </c>
    </row>
    <row r="65" spans="1:39" x14ac:dyDescent="0.25">
      <c r="A65" s="274">
        <v>63</v>
      </c>
      <c r="B65" s="274"/>
      <c r="C65" s="274" t="s">
        <v>213</v>
      </c>
      <c r="D65" s="77" t="s">
        <v>537</v>
      </c>
      <c r="E65" s="120"/>
      <c r="F65" s="120"/>
      <c r="G65" s="120">
        <v>1E-3</v>
      </c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>
        <v>3496.5079999999998</v>
      </c>
      <c r="S65" s="284">
        <v>3496.5079999999998</v>
      </c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5"/>
      <c r="AJ65" s="285"/>
      <c r="AK65" s="285">
        <f t="shared" si="9"/>
        <v>3496.5079999999998</v>
      </c>
      <c r="AL65" s="285">
        <f t="shared" si="10"/>
        <v>3496.509</v>
      </c>
      <c r="AM65" s="311">
        <f t="shared" si="4"/>
        <v>1.0000002859996318</v>
      </c>
    </row>
    <row r="66" spans="1:39" x14ac:dyDescent="0.25">
      <c r="A66" s="274">
        <v>64</v>
      </c>
      <c r="B66" s="274"/>
      <c r="C66" s="274" t="s">
        <v>207</v>
      </c>
      <c r="D66" s="77" t="s">
        <v>538</v>
      </c>
      <c r="E66" s="120"/>
      <c r="F66" s="120"/>
      <c r="G66" s="120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>
        <v>2003</v>
      </c>
      <c r="S66" s="284">
        <v>2003</v>
      </c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5"/>
      <c r="AJ66" s="285"/>
      <c r="AK66" s="285">
        <f t="shared" si="9"/>
        <v>2003</v>
      </c>
      <c r="AL66" s="285">
        <f t="shared" si="10"/>
        <v>2003</v>
      </c>
      <c r="AM66" s="311">
        <f t="shared" si="4"/>
        <v>1</v>
      </c>
    </row>
    <row r="67" spans="1:39" x14ac:dyDescent="0.25">
      <c r="A67" s="274">
        <v>65</v>
      </c>
      <c r="B67" s="274"/>
      <c r="C67" s="274" t="s">
        <v>207</v>
      </c>
      <c r="D67" s="77" t="s">
        <v>539</v>
      </c>
      <c r="E67" s="120"/>
      <c r="F67" s="120"/>
      <c r="G67" s="120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>
        <v>10031.323</v>
      </c>
      <c r="AH67" s="284">
        <v>10031.323</v>
      </c>
      <c r="AI67" s="285"/>
      <c r="AJ67" s="285"/>
      <c r="AK67" s="285">
        <f t="shared" si="9"/>
        <v>10031.323</v>
      </c>
      <c r="AL67" s="285">
        <f t="shared" si="10"/>
        <v>10031.323</v>
      </c>
      <c r="AM67" s="311">
        <f t="shared" si="4"/>
        <v>1</v>
      </c>
    </row>
    <row r="68" spans="1:39" x14ac:dyDescent="0.25">
      <c r="A68" s="274">
        <v>66</v>
      </c>
      <c r="B68" s="274">
        <v>143</v>
      </c>
      <c r="C68" s="274" t="s">
        <v>207</v>
      </c>
      <c r="D68" s="283" t="s">
        <v>233</v>
      </c>
      <c r="E68" s="120">
        <v>748</v>
      </c>
      <c r="F68" s="120">
        <v>748</v>
      </c>
      <c r="G68" s="120">
        <v>512.01700000000005</v>
      </c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5">
        <f t="shared" si="1"/>
        <v>748</v>
      </c>
      <c r="AJ68" s="285">
        <f t="shared" si="2"/>
        <v>748</v>
      </c>
      <c r="AK68" s="285">
        <f t="shared" si="9"/>
        <v>748</v>
      </c>
      <c r="AL68" s="285">
        <f t="shared" si="10"/>
        <v>512.01700000000005</v>
      </c>
      <c r="AM68" s="311">
        <f t="shared" si="4"/>
        <v>0.68451470588235297</v>
      </c>
    </row>
    <row r="69" spans="1:39" x14ac:dyDescent="0.25">
      <c r="A69" s="274">
        <v>67</v>
      </c>
      <c r="B69" s="274">
        <v>144</v>
      </c>
      <c r="C69" s="292" t="s">
        <v>207</v>
      </c>
      <c r="D69" s="283" t="s">
        <v>234</v>
      </c>
      <c r="E69" s="120">
        <v>4009</v>
      </c>
      <c r="F69" s="120">
        <v>4782.6000000000004</v>
      </c>
      <c r="G69" s="120">
        <v>4782.4930000000004</v>
      </c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5">
        <f t="shared" si="1"/>
        <v>4009</v>
      </c>
      <c r="AJ69" s="285">
        <f t="shared" si="2"/>
        <v>4782.6000000000004</v>
      </c>
      <c r="AK69" s="285">
        <f t="shared" si="9"/>
        <v>4782.6000000000004</v>
      </c>
      <c r="AL69" s="285">
        <f t="shared" si="10"/>
        <v>4782.4930000000004</v>
      </c>
      <c r="AM69" s="311">
        <f t="shared" si="4"/>
        <v>0.99997762723204953</v>
      </c>
    </row>
    <row r="70" spans="1:39" ht="15.75" x14ac:dyDescent="0.25">
      <c r="A70" s="274">
        <v>68</v>
      </c>
      <c r="B70" s="274"/>
      <c r="C70" s="274"/>
      <c r="D70" s="276" t="s">
        <v>235</v>
      </c>
      <c r="E70" s="285">
        <f t="shared" ref="E70:AD70" si="11">SUM(E5:E69)</f>
        <v>230366.965</v>
      </c>
      <c r="F70" s="285">
        <f t="shared" si="11"/>
        <v>32688.6</v>
      </c>
      <c r="G70" s="515">
        <f t="shared" si="11"/>
        <v>32224.288</v>
      </c>
      <c r="H70" s="285">
        <f t="shared" si="11"/>
        <v>102821</v>
      </c>
      <c r="I70" s="285">
        <f t="shared" si="11"/>
        <v>114533.88800000001</v>
      </c>
      <c r="J70" s="515">
        <f t="shared" si="11"/>
        <v>114533.37999999998</v>
      </c>
      <c r="K70" s="285">
        <f t="shared" si="11"/>
        <v>299157.57900000003</v>
      </c>
      <c r="L70" s="285">
        <f t="shared" si="11"/>
        <v>333402.36300000013</v>
      </c>
      <c r="M70" s="515">
        <f t="shared" si="11"/>
        <v>333402.36300000013</v>
      </c>
      <c r="N70" s="285">
        <f t="shared" si="11"/>
        <v>15000</v>
      </c>
      <c r="O70" s="285">
        <f t="shared" si="11"/>
        <v>15000</v>
      </c>
      <c r="P70" s="515">
        <f t="shared" si="11"/>
        <v>15000</v>
      </c>
      <c r="Q70" s="285">
        <f t="shared" si="11"/>
        <v>130742</v>
      </c>
      <c r="R70" s="285">
        <f t="shared" si="11"/>
        <v>159124.71799999999</v>
      </c>
      <c r="S70" s="515">
        <f t="shared" si="11"/>
        <v>150607.967</v>
      </c>
      <c r="T70" s="285">
        <f t="shared" si="11"/>
        <v>307909</v>
      </c>
      <c r="U70" s="285">
        <f t="shared" si="11"/>
        <v>300726.55499999999</v>
      </c>
      <c r="V70" s="515">
        <f t="shared" si="11"/>
        <v>208437.245</v>
      </c>
      <c r="W70" s="285">
        <f t="shared" si="11"/>
        <v>0</v>
      </c>
      <c r="X70" s="285">
        <f t="shared" si="11"/>
        <v>0</v>
      </c>
      <c r="Y70" s="285">
        <f t="shared" si="11"/>
        <v>0</v>
      </c>
      <c r="Z70" s="285">
        <f t="shared" si="11"/>
        <v>0</v>
      </c>
      <c r="AA70" s="285">
        <f t="shared" si="11"/>
        <v>0</v>
      </c>
      <c r="AB70" s="285">
        <f t="shared" si="11"/>
        <v>0</v>
      </c>
      <c r="AC70" s="285">
        <f t="shared" si="11"/>
        <v>0</v>
      </c>
      <c r="AD70" s="285">
        <f t="shared" si="11"/>
        <v>0</v>
      </c>
      <c r="AE70" s="285">
        <f>SUM(AE38:AE69)</f>
        <v>0</v>
      </c>
      <c r="AF70" s="285">
        <f t="shared" ref="AF70:AL70" si="12">SUM(AF5:AF69)</f>
        <v>457973.75299999997</v>
      </c>
      <c r="AG70" s="285">
        <f t="shared" si="12"/>
        <v>511025.86</v>
      </c>
      <c r="AH70" s="515">
        <f t="shared" si="12"/>
        <v>511025.86</v>
      </c>
      <c r="AI70" s="285">
        <f t="shared" si="12"/>
        <v>1543970.297</v>
      </c>
      <c r="AJ70" s="285">
        <f t="shared" si="12"/>
        <v>1289852.0970000003</v>
      </c>
      <c r="AK70" s="285">
        <f t="shared" si="12"/>
        <v>1466501.9839999999</v>
      </c>
      <c r="AL70" s="515">
        <f t="shared" si="12"/>
        <v>1365231.1029999999</v>
      </c>
      <c r="AM70" s="311">
        <f t="shared" si="4"/>
        <v>0.93094391817747446</v>
      </c>
    </row>
    <row r="71" spans="1:39" x14ac:dyDescent="0.25">
      <c r="A71" s="274">
        <v>69</v>
      </c>
      <c r="B71" s="274"/>
      <c r="C71" s="274"/>
      <c r="D71" s="286" t="s">
        <v>236</v>
      </c>
      <c r="E71" s="293">
        <f t="shared" ref="E71:J71" si="13">SUMIF($C5:$C69,"kötelező",E5:E69)</f>
        <v>227866.965</v>
      </c>
      <c r="F71" s="293">
        <f t="shared" si="13"/>
        <v>28338.5</v>
      </c>
      <c r="G71" s="293">
        <f t="shared" si="13"/>
        <v>27874.362000000001</v>
      </c>
      <c r="H71" s="293">
        <f t="shared" si="13"/>
        <v>102821</v>
      </c>
      <c r="I71" s="293">
        <f t="shared" si="13"/>
        <v>114533.88800000001</v>
      </c>
      <c r="J71" s="293">
        <f t="shared" si="13"/>
        <v>114533.37999999998</v>
      </c>
      <c r="K71" s="293">
        <f>SUMIF($C5:$C69,"kötelező",K5:K69)-7170</f>
        <v>257157.57900000003</v>
      </c>
      <c r="L71" s="293">
        <f>SUMIF($C5:$C69,"kötelező",L5:L69)-7170</f>
        <v>267299.93400000007</v>
      </c>
      <c r="M71" s="293">
        <f>M70-M73-7170</f>
        <v>267299.93400000012</v>
      </c>
      <c r="N71" s="293">
        <f>SUMIF($C5:$C69,"kötelező",N5:N69)</f>
        <v>0</v>
      </c>
      <c r="O71" s="293">
        <f>SUMIF($C5:$C69,"kötelező",$O5:$O69)</f>
        <v>0</v>
      </c>
      <c r="P71" s="293">
        <f>SUMIF($C5:$C69,"kötelező",$P5:$P69)</f>
        <v>0</v>
      </c>
      <c r="Q71" s="293">
        <f t="shared" ref="Q71:AH71" si="14">SUMIF($C5:$C69,"kötelező",Q5:Q69)</f>
        <v>114373</v>
      </c>
      <c r="R71" s="293">
        <f t="shared" si="14"/>
        <v>117053.21</v>
      </c>
      <c r="S71" s="293">
        <f t="shared" si="14"/>
        <v>109656.43700000001</v>
      </c>
      <c r="T71" s="293">
        <f t="shared" si="14"/>
        <v>0</v>
      </c>
      <c r="U71" s="293">
        <f t="shared" si="14"/>
        <v>1328</v>
      </c>
      <c r="V71" s="293">
        <f t="shared" si="14"/>
        <v>1327.28</v>
      </c>
      <c r="W71" s="293">
        <f t="shared" si="14"/>
        <v>0</v>
      </c>
      <c r="X71" s="293">
        <f t="shared" si="14"/>
        <v>0</v>
      </c>
      <c r="Y71" s="293">
        <f t="shared" si="14"/>
        <v>0</v>
      </c>
      <c r="Z71" s="293">
        <f t="shared" si="14"/>
        <v>0</v>
      </c>
      <c r="AA71" s="293">
        <f t="shared" si="14"/>
        <v>0</v>
      </c>
      <c r="AB71" s="293">
        <f t="shared" si="14"/>
        <v>0</v>
      </c>
      <c r="AC71" s="293">
        <f t="shared" si="14"/>
        <v>0</v>
      </c>
      <c r="AD71" s="293">
        <f t="shared" si="14"/>
        <v>0</v>
      </c>
      <c r="AE71" s="293">
        <f t="shared" si="14"/>
        <v>0</v>
      </c>
      <c r="AF71" s="293">
        <f t="shared" si="14"/>
        <v>22555.454000000002</v>
      </c>
      <c r="AG71" s="293">
        <f t="shared" si="14"/>
        <v>37864.228000000003</v>
      </c>
      <c r="AH71" s="293">
        <f t="shared" si="14"/>
        <v>37864.228000000003</v>
      </c>
      <c r="AI71" s="293">
        <f>E71+H71+K71+Q71+T71+W71+AF71</f>
        <v>724773.99800000002</v>
      </c>
      <c r="AJ71" s="293">
        <f t="shared" ref="AJ71" si="15">F71+I71+L71+R71+U71+X71+AG71</f>
        <v>566417.76</v>
      </c>
      <c r="AK71" s="293">
        <f>F71+I71+L71+R71+U71+X71+AG71+AA71+O71</f>
        <v>566417.76</v>
      </c>
      <c r="AL71" s="293">
        <f>G71+J71+M71+S71+V71+Y71+AH71+AB71+P71+AE71</f>
        <v>558555.62100000016</v>
      </c>
      <c r="AM71" s="309">
        <f t="shared" si="4"/>
        <v>0.98611954010764091</v>
      </c>
    </row>
    <row r="72" spans="1:39" x14ac:dyDescent="0.25">
      <c r="A72" s="274">
        <v>70</v>
      </c>
      <c r="B72" s="274"/>
      <c r="C72" s="274"/>
      <c r="D72" s="286" t="s">
        <v>305</v>
      </c>
      <c r="E72" s="293"/>
      <c r="F72" s="293"/>
      <c r="G72" s="293"/>
      <c r="H72" s="293"/>
      <c r="I72" s="293"/>
      <c r="J72" s="293"/>
      <c r="K72" s="293">
        <v>7170</v>
      </c>
      <c r="L72" s="293">
        <v>7170</v>
      </c>
      <c r="M72" s="293">
        <v>7170</v>
      </c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>
        <f t="shared" ref="AI72" si="16">E72+H72+K72+Q72+T72+W72+AF72</f>
        <v>7170</v>
      </c>
      <c r="AJ72" s="293">
        <v>5525</v>
      </c>
      <c r="AK72" s="293">
        <f t="shared" ref="AK72:AL73" si="17">F72+I72+L72+R72+U72+X72+AG72+AA72+O72</f>
        <v>7170</v>
      </c>
      <c r="AL72" s="293">
        <f t="shared" si="17"/>
        <v>7170</v>
      </c>
      <c r="AM72" s="309">
        <f t="shared" si="4"/>
        <v>1</v>
      </c>
    </row>
    <row r="73" spans="1:39" x14ac:dyDescent="0.25">
      <c r="A73" s="274">
        <v>71</v>
      </c>
      <c r="B73" s="274"/>
      <c r="C73" s="286"/>
      <c r="D73" s="286" t="s">
        <v>237</v>
      </c>
      <c r="E73" s="293">
        <f t="shared" ref="E73:O73" si="18">SUMIF($C5:$C69,"nem kötelező",E5:E69)</f>
        <v>2500</v>
      </c>
      <c r="F73" s="293">
        <f t="shared" si="18"/>
        <v>4350.1000000000004</v>
      </c>
      <c r="G73" s="293">
        <f t="shared" si="18"/>
        <v>4349.9259999999995</v>
      </c>
      <c r="H73" s="293">
        <f t="shared" si="18"/>
        <v>0</v>
      </c>
      <c r="I73" s="293">
        <f t="shared" si="18"/>
        <v>0</v>
      </c>
      <c r="J73" s="293">
        <f t="shared" si="18"/>
        <v>0</v>
      </c>
      <c r="K73" s="293">
        <f t="shared" si="18"/>
        <v>34830</v>
      </c>
      <c r="L73" s="293">
        <f t="shared" si="18"/>
        <v>58932.429000000004</v>
      </c>
      <c r="M73" s="293">
        <f t="shared" si="18"/>
        <v>58932.429000000004</v>
      </c>
      <c r="N73" s="293">
        <f t="shared" si="18"/>
        <v>15000</v>
      </c>
      <c r="O73" s="293">
        <f t="shared" si="18"/>
        <v>15000</v>
      </c>
      <c r="P73" s="293">
        <f>SUMIF($C5:$C69,"nem kötelező",$P5:$P69)</f>
        <v>15000</v>
      </c>
      <c r="Q73" s="293">
        <f t="shared" ref="Q73:AH73" si="19">SUMIF($C5:$C69,"nem kötelező",Q5:Q69)</f>
        <v>16369</v>
      </c>
      <c r="R73" s="293">
        <f t="shared" si="19"/>
        <v>42071.508000000002</v>
      </c>
      <c r="S73" s="293">
        <f t="shared" si="19"/>
        <v>40951.530000000006</v>
      </c>
      <c r="T73" s="293">
        <f t="shared" si="19"/>
        <v>307909</v>
      </c>
      <c r="U73" s="293">
        <f t="shared" si="19"/>
        <v>299398.55499999999</v>
      </c>
      <c r="V73" s="293">
        <f t="shared" si="19"/>
        <v>207109.965</v>
      </c>
      <c r="W73" s="293">
        <f t="shared" si="19"/>
        <v>0</v>
      </c>
      <c r="X73" s="293">
        <f t="shared" si="19"/>
        <v>0</v>
      </c>
      <c r="Y73" s="293">
        <f t="shared" si="19"/>
        <v>0</v>
      </c>
      <c r="Z73" s="293">
        <f t="shared" si="19"/>
        <v>0</v>
      </c>
      <c r="AA73" s="293">
        <f t="shared" si="19"/>
        <v>0</v>
      </c>
      <c r="AB73" s="293">
        <f t="shared" si="19"/>
        <v>0</v>
      </c>
      <c r="AC73" s="293">
        <f t="shared" si="19"/>
        <v>0</v>
      </c>
      <c r="AD73" s="293">
        <f t="shared" si="19"/>
        <v>0</v>
      </c>
      <c r="AE73" s="293">
        <f t="shared" si="19"/>
        <v>0</v>
      </c>
      <c r="AF73" s="293">
        <f t="shared" si="19"/>
        <v>435418.299</v>
      </c>
      <c r="AG73" s="293">
        <f t="shared" si="19"/>
        <v>473161.63199999998</v>
      </c>
      <c r="AH73" s="293">
        <f t="shared" si="19"/>
        <v>473161.63199999998</v>
      </c>
      <c r="AI73" s="293">
        <f>E73+H73+K73+Q73+T73+W73+AF73+N73</f>
        <v>812026.299</v>
      </c>
      <c r="AJ73" s="293">
        <f>SUMIF($C5:$C69,"nem kötelező",AJ5:AJ69)+92025.911-10610.254</f>
        <v>822922.66800000006</v>
      </c>
      <c r="AK73" s="293">
        <f>F73+I73+L73+R73+U73+X73+AG73+AA73+O73</f>
        <v>892914.22399999993</v>
      </c>
      <c r="AL73" s="293">
        <f t="shared" si="17"/>
        <v>799505.48199999996</v>
      </c>
      <c r="AM73" s="309">
        <f t="shared" si="4"/>
        <v>0.89538889683988288</v>
      </c>
    </row>
    <row r="74" spans="1:39" s="282" customFormat="1" x14ac:dyDescent="0.25">
      <c r="A74" s="274">
        <v>72</v>
      </c>
      <c r="B74" s="274"/>
      <c r="C74" s="277"/>
      <c r="D74" s="294" t="s">
        <v>315</v>
      </c>
      <c r="E74" s="295">
        <f t="shared" ref="E74:J74" si="20">SUM(E75:E77)</f>
        <v>338.1</v>
      </c>
      <c r="F74" s="295">
        <f t="shared" si="20"/>
        <v>379.97500000000002</v>
      </c>
      <c r="G74" s="295">
        <f t="shared" si="20"/>
        <v>379.97500000000002</v>
      </c>
      <c r="H74" s="295">
        <f t="shared" si="20"/>
        <v>0</v>
      </c>
      <c r="I74" s="295">
        <f t="shared" si="20"/>
        <v>0</v>
      </c>
      <c r="J74" s="295">
        <f t="shared" si="20"/>
        <v>0</v>
      </c>
      <c r="K74" s="295">
        <f t="shared" ref="K74:AK74" si="21">SUM(K75:K77)</f>
        <v>0</v>
      </c>
      <c r="L74" s="295">
        <f t="shared" si="21"/>
        <v>0</v>
      </c>
      <c r="M74" s="295">
        <f t="shared" si="21"/>
        <v>0</v>
      </c>
      <c r="N74" s="295">
        <f t="shared" si="21"/>
        <v>0</v>
      </c>
      <c r="O74" s="295">
        <f t="shared" si="21"/>
        <v>0</v>
      </c>
      <c r="P74" s="295">
        <f t="shared" si="21"/>
        <v>0</v>
      </c>
      <c r="Q74" s="295">
        <f t="shared" si="21"/>
        <v>0</v>
      </c>
      <c r="R74" s="295">
        <f t="shared" si="21"/>
        <v>1165.1579999999999</v>
      </c>
      <c r="S74" s="295">
        <f t="shared" si="21"/>
        <v>1165.1579999999999</v>
      </c>
      <c r="T74" s="295">
        <f t="shared" si="21"/>
        <v>0</v>
      </c>
      <c r="U74" s="295">
        <f t="shared" si="21"/>
        <v>0</v>
      </c>
      <c r="V74" s="295">
        <f t="shared" si="21"/>
        <v>0</v>
      </c>
      <c r="W74" s="295">
        <f t="shared" si="21"/>
        <v>0</v>
      </c>
      <c r="X74" s="295">
        <f t="shared" si="21"/>
        <v>0</v>
      </c>
      <c r="Y74" s="295">
        <f t="shared" si="21"/>
        <v>0</v>
      </c>
      <c r="Z74" s="295">
        <f t="shared" si="21"/>
        <v>0</v>
      </c>
      <c r="AA74" s="295">
        <f t="shared" si="21"/>
        <v>0</v>
      </c>
      <c r="AB74" s="295">
        <f t="shared" si="21"/>
        <v>0</v>
      </c>
      <c r="AC74" s="295">
        <f t="shared" si="21"/>
        <v>0</v>
      </c>
      <c r="AD74" s="295">
        <f t="shared" si="21"/>
        <v>0</v>
      </c>
      <c r="AE74" s="295">
        <f t="shared" si="21"/>
        <v>0</v>
      </c>
      <c r="AF74" s="295">
        <f t="shared" si="21"/>
        <v>0</v>
      </c>
      <c r="AG74" s="295">
        <f t="shared" si="21"/>
        <v>371.66399999999999</v>
      </c>
      <c r="AH74" s="295">
        <f t="shared" si="21"/>
        <v>371.66399999999999</v>
      </c>
      <c r="AI74" s="295">
        <f t="shared" si="21"/>
        <v>338.1</v>
      </c>
      <c r="AJ74" s="295">
        <f t="shared" si="21"/>
        <v>1916.7969999999998</v>
      </c>
      <c r="AK74" s="295">
        <f t="shared" si="21"/>
        <v>1916.7969999999998</v>
      </c>
      <c r="AL74" s="295">
        <f t="shared" ref="AL74" si="22">SUM(AL75:AL77)</f>
        <v>1916.7969999999998</v>
      </c>
      <c r="AM74" s="311">
        <f t="shared" si="4"/>
        <v>1</v>
      </c>
    </row>
    <row r="75" spans="1:39" x14ac:dyDescent="0.25">
      <c r="A75" s="274">
        <v>73</v>
      </c>
      <c r="B75" s="274"/>
      <c r="C75" s="274" t="s">
        <v>207</v>
      </c>
      <c r="D75" s="297" t="s">
        <v>238</v>
      </c>
      <c r="E75" s="298">
        <v>338.1</v>
      </c>
      <c r="F75" s="298">
        <v>379.97500000000002</v>
      </c>
      <c r="G75" s="298">
        <v>379.97500000000002</v>
      </c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>
        <v>1165.1579999999999</v>
      </c>
      <c r="S75" s="298">
        <v>1165.1579999999999</v>
      </c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>
        <v>371.66399999999999</v>
      </c>
      <c r="AH75" s="298">
        <v>371.66399999999999</v>
      </c>
      <c r="AI75" s="299">
        <f>E75+H75+K75+Q75+T75+W75+AF75</f>
        <v>338.1</v>
      </c>
      <c r="AJ75" s="299">
        <f t="shared" ref="AJ75" si="23">F75+I75+L75+R75+U75+X75+AG75</f>
        <v>1916.7969999999998</v>
      </c>
      <c r="AK75" s="299">
        <f>F75+I75+L75+R75+U75+X75+AG75</f>
        <v>1916.7969999999998</v>
      </c>
      <c r="AL75" s="299">
        <f>G75+J75+M75+S75+V75+Y75+AH75</f>
        <v>1916.7969999999998</v>
      </c>
      <c r="AM75" s="309">
        <f t="shared" si="4"/>
        <v>1</v>
      </c>
    </row>
    <row r="76" spans="1:39" x14ac:dyDescent="0.25">
      <c r="A76" s="274">
        <v>74</v>
      </c>
      <c r="B76" s="274"/>
      <c r="C76" s="274" t="s">
        <v>213</v>
      </c>
      <c r="D76" s="297" t="s">
        <v>239</v>
      </c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9">
        <f t="shared" ref="AI76:AI77" si="24">E76+H76+K76+Q76+T76+W76+AF76</f>
        <v>0</v>
      </c>
      <c r="AJ76" s="300"/>
      <c r="AK76" s="299">
        <f t="shared" ref="AK76:AK77" si="25">F76+I76+L76+R76+U76+X76+AG76</f>
        <v>0</v>
      </c>
      <c r="AL76" s="299">
        <f t="shared" ref="AL76:AL77" si="26">G76+J76+M76+S76+V76+Y76+AH76</f>
        <v>0</v>
      </c>
      <c r="AM76" s="311"/>
    </row>
    <row r="77" spans="1:39" x14ac:dyDescent="0.25">
      <c r="A77" s="274">
        <v>75</v>
      </c>
      <c r="B77" s="274"/>
      <c r="C77" s="274" t="s">
        <v>314</v>
      </c>
      <c r="D77" s="297" t="s">
        <v>305</v>
      </c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9">
        <f t="shared" si="24"/>
        <v>0</v>
      </c>
      <c r="AJ77" s="300"/>
      <c r="AK77" s="299">
        <f t="shared" si="25"/>
        <v>0</v>
      </c>
      <c r="AL77" s="299">
        <f t="shared" si="26"/>
        <v>0</v>
      </c>
      <c r="AM77" s="311"/>
    </row>
    <row r="78" spans="1:39" s="282" customFormat="1" x14ac:dyDescent="0.25">
      <c r="A78" s="274">
        <v>76</v>
      </c>
      <c r="B78" s="274"/>
      <c r="C78" s="277"/>
      <c r="D78" s="294" t="s">
        <v>240</v>
      </c>
      <c r="E78" s="295">
        <f>SUM(E79:E80)</f>
        <v>305.10000000000002</v>
      </c>
      <c r="F78" s="295">
        <f>SUM(F79:F80)</f>
        <v>306.58699999999999</v>
      </c>
      <c r="G78" s="295">
        <f>SUM(G79:G80)</f>
        <v>306.58699999999999</v>
      </c>
      <c r="H78" s="295">
        <f t="shared" ref="H78:AK78" si="27">SUM(H79:H80)</f>
        <v>0</v>
      </c>
      <c r="I78" s="295">
        <f t="shared" si="27"/>
        <v>0</v>
      </c>
      <c r="J78" s="295">
        <f t="shared" si="27"/>
        <v>0</v>
      </c>
      <c r="K78" s="295">
        <f t="shared" si="27"/>
        <v>0</v>
      </c>
      <c r="L78" s="295">
        <f t="shared" si="27"/>
        <v>0</v>
      </c>
      <c r="M78" s="295">
        <f t="shared" si="27"/>
        <v>0</v>
      </c>
      <c r="N78" s="295">
        <f t="shared" si="27"/>
        <v>0</v>
      </c>
      <c r="O78" s="295">
        <f t="shared" si="27"/>
        <v>0</v>
      </c>
      <c r="P78" s="295">
        <f t="shared" si="27"/>
        <v>0</v>
      </c>
      <c r="Q78" s="295">
        <f t="shared" si="27"/>
        <v>0</v>
      </c>
      <c r="R78" s="295">
        <f t="shared" si="27"/>
        <v>0</v>
      </c>
      <c r="S78" s="295">
        <f t="shared" si="27"/>
        <v>0</v>
      </c>
      <c r="T78" s="295">
        <f t="shared" si="27"/>
        <v>0</v>
      </c>
      <c r="U78" s="295">
        <f t="shared" si="27"/>
        <v>0</v>
      </c>
      <c r="V78" s="295">
        <f t="shared" si="27"/>
        <v>0</v>
      </c>
      <c r="W78" s="295">
        <f t="shared" si="27"/>
        <v>0</v>
      </c>
      <c r="X78" s="295">
        <f t="shared" si="27"/>
        <v>0</v>
      </c>
      <c r="Y78" s="295">
        <f t="shared" si="27"/>
        <v>0</v>
      </c>
      <c r="Z78" s="295">
        <f t="shared" si="27"/>
        <v>0</v>
      </c>
      <c r="AA78" s="295">
        <f t="shared" si="27"/>
        <v>0</v>
      </c>
      <c r="AB78" s="295">
        <f t="shared" si="27"/>
        <v>0</v>
      </c>
      <c r="AC78" s="295">
        <f t="shared" si="27"/>
        <v>0</v>
      </c>
      <c r="AD78" s="295">
        <f t="shared" si="27"/>
        <v>0</v>
      </c>
      <c r="AE78" s="295">
        <f t="shared" si="27"/>
        <v>0</v>
      </c>
      <c r="AF78" s="295">
        <f t="shared" si="27"/>
        <v>0</v>
      </c>
      <c r="AG78" s="295">
        <f t="shared" si="27"/>
        <v>0</v>
      </c>
      <c r="AH78" s="295">
        <f t="shared" si="27"/>
        <v>0</v>
      </c>
      <c r="AI78" s="295">
        <f t="shared" si="27"/>
        <v>305.10000000000002</v>
      </c>
      <c r="AJ78" s="295">
        <f t="shared" si="27"/>
        <v>306.58699999999999</v>
      </c>
      <c r="AK78" s="295">
        <f t="shared" si="27"/>
        <v>306.58699999999999</v>
      </c>
      <c r="AL78" s="295">
        <f>SUM(AL79:AL80)</f>
        <v>306.58699999999999</v>
      </c>
      <c r="AM78" s="311">
        <f>AL78/AK78</f>
        <v>1</v>
      </c>
    </row>
    <row r="79" spans="1:39" x14ac:dyDescent="0.25">
      <c r="A79" s="274">
        <v>77</v>
      </c>
      <c r="B79" s="274"/>
      <c r="C79" s="274" t="s">
        <v>207</v>
      </c>
      <c r="D79" s="297" t="s">
        <v>238</v>
      </c>
      <c r="E79" s="298">
        <v>305.10000000000002</v>
      </c>
      <c r="F79" s="298">
        <v>306.58699999999999</v>
      </c>
      <c r="G79" s="298">
        <v>306.58699999999999</v>
      </c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5">
        <f>E79+H79+K79+N79+Q79+T79+W79+Z79+AC79+AF79</f>
        <v>305.10000000000002</v>
      </c>
      <c r="AJ79" s="295">
        <f t="shared" ref="AJ79" si="28">F79+I79+L79+O79+R79+U79+X79+AA79+AD79+AG79</f>
        <v>306.58699999999999</v>
      </c>
      <c r="AK79" s="295">
        <f>F79+I79+L79+O79</f>
        <v>306.58699999999999</v>
      </c>
      <c r="AL79" s="317">
        <f>AH79+AE79+AB79+Y79+V79+S79+P79+M79+J79+G79</f>
        <v>306.58699999999999</v>
      </c>
      <c r="AM79" s="311">
        <f>AL79/AK79</f>
        <v>1</v>
      </c>
    </row>
    <row r="80" spans="1:39" x14ac:dyDescent="0.25">
      <c r="A80" s="274">
        <v>78</v>
      </c>
      <c r="B80" s="274"/>
      <c r="C80" s="274" t="s">
        <v>213</v>
      </c>
      <c r="D80" s="297" t="s">
        <v>239</v>
      </c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5">
        <f>E80+H80+K80+N80+Q80+T80+W80+Z80+AC80+AF80</f>
        <v>0</v>
      </c>
      <c r="AJ80" s="300"/>
      <c r="AK80" s="295">
        <f>F80+I80+L80+O80</f>
        <v>0</v>
      </c>
      <c r="AL80" s="316"/>
      <c r="AM80" s="311"/>
    </row>
    <row r="81" spans="1:39" s="282" customFormat="1" x14ac:dyDescent="0.25">
      <c r="A81" s="274">
        <v>79</v>
      </c>
      <c r="B81" s="274"/>
      <c r="C81" s="277"/>
      <c r="D81" s="294" t="s">
        <v>241</v>
      </c>
      <c r="E81" s="295">
        <f>E82+E83</f>
        <v>32438</v>
      </c>
      <c r="F81" s="295">
        <f>F82+F83</f>
        <v>31966.251</v>
      </c>
      <c r="G81" s="295">
        <f>G82+G83</f>
        <v>31966.251</v>
      </c>
      <c r="H81" s="295">
        <f t="shared" ref="H81:AH81" si="29">H82+H83</f>
        <v>0</v>
      </c>
      <c r="I81" s="295">
        <f t="shared" si="29"/>
        <v>0</v>
      </c>
      <c r="J81" s="295">
        <f t="shared" si="29"/>
        <v>0</v>
      </c>
      <c r="K81" s="295">
        <f t="shared" si="29"/>
        <v>0</v>
      </c>
      <c r="L81" s="295">
        <f t="shared" si="29"/>
        <v>0</v>
      </c>
      <c r="M81" s="295">
        <f t="shared" si="29"/>
        <v>0</v>
      </c>
      <c r="N81" s="295">
        <f t="shared" si="29"/>
        <v>0</v>
      </c>
      <c r="O81" s="295">
        <f t="shared" si="29"/>
        <v>0</v>
      </c>
      <c r="P81" s="295">
        <f t="shared" si="29"/>
        <v>0</v>
      </c>
      <c r="Q81" s="295">
        <f t="shared" si="29"/>
        <v>966</v>
      </c>
      <c r="R81" s="295">
        <f t="shared" si="29"/>
        <v>946.28499999999997</v>
      </c>
      <c r="S81" s="295">
        <f t="shared" si="29"/>
        <v>946.28499999999997</v>
      </c>
      <c r="T81" s="295">
        <f t="shared" si="29"/>
        <v>0</v>
      </c>
      <c r="U81" s="295">
        <f t="shared" si="29"/>
        <v>0</v>
      </c>
      <c r="V81" s="295">
        <f t="shared" si="29"/>
        <v>0</v>
      </c>
      <c r="W81" s="295">
        <f t="shared" si="29"/>
        <v>0</v>
      </c>
      <c r="X81" s="295">
        <f t="shared" si="29"/>
        <v>0</v>
      </c>
      <c r="Y81" s="295">
        <f t="shared" si="29"/>
        <v>0</v>
      </c>
      <c r="Z81" s="295">
        <f t="shared" si="29"/>
        <v>0</v>
      </c>
      <c r="AA81" s="295">
        <f t="shared" si="29"/>
        <v>0</v>
      </c>
      <c r="AB81" s="295">
        <f t="shared" si="29"/>
        <v>0</v>
      </c>
      <c r="AC81" s="295">
        <f t="shared" si="29"/>
        <v>0</v>
      </c>
      <c r="AD81" s="295">
        <f t="shared" si="29"/>
        <v>0</v>
      </c>
      <c r="AE81" s="295">
        <f t="shared" si="29"/>
        <v>0</v>
      </c>
      <c r="AF81" s="295">
        <f t="shared" si="29"/>
        <v>0</v>
      </c>
      <c r="AG81" s="295">
        <f t="shared" si="29"/>
        <v>483.49900000000002</v>
      </c>
      <c r="AH81" s="295">
        <f t="shared" si="29"/>
        <v>483.49900000000002</v>
      </c>
      <c r="AI81" s="295">
        <f>SUM(AI82:AI83)</f>
        <v>33404</v>
      </c>
      <c r="AJ81" s="295">
        <f t="shared" ref="AJ81:AK81" si="30">SUM(AJ82:AJ83)</f>
        <v>33396.035000000003</v>
      </c>
      <c r="AK81" s="295">
        <f t="shared" si="30"/>
        <v>33396.035000000003</v>
      </c>
      <c r="AL81" s="295">
        <f t="shared" ref="AL81" si="31">SUM(AL82:AL83)</f>
        <v>33396.035000000003</v>
      </c>
      <c r="AM81" s="311">
        <f t="shared" si="4"/>
        <v>1</v>
      </c>
    </row>
    <row r="82" spans="1:39" x14ac:dyDescent="0.25">
      <c r="A82" s="274">
        <v>80</v>
      </c>
      <c r="B82" s="274"/>
      <c r="C82" s="274" t="s">
        <v>207</v>
      </c>
      <c r="D82" s="297" t="s">
        <v>238</v>
      </c>
      <c r="E82" s="298">
        <v>4857</v>
      </c>
      <c r="F82" s="298">
        <v>4567.6049999999996</v>
      </c>
      <c r="G82" s="298">
        <v>4567.6049999999996</v>
      </c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9">
        <f>E82+H82+K82+Q82+T82+W82+AF82</f>
        <v>4857</v>
      </c>
      <c r="AJ82" s="299">
        <f t="shared" ref="AJ82:AJ83" si="32">F82+I82+L82+R82+U82+X82+AG82</f>
        <v>4567.6049999999996</v>
      </c>
      <c r="AK82" s="299">
        <f>F82+I82+L82+R82+U82+X82+AG82</f>
        <v>4567.6049999999996</v>
      </c>
      <c r="AL82" s="299">
        <f>G82+J82+M82+S82+V82+Y82+AH82</f>
        <v>4567.6049999999996</v>
      </c>
      <c r="AM82" s="311">
        <f t="shared" ref="AM82:AM93" si="33">AL82/AK82</f>
        <v>1</v>
      </c>
    </row>
    <row r="83" spans="1:39" x14ac:dyDescent="0.25">
      <c r="A83" s="274">
        <v>81</v>
      </c>
      <c r="B83" s="274"/>
      <c r="C83" s="274" t="s">
        <v>213</v>
      </c>
      <c r="D83" s="297" t="s">
        <v>239</v>
      </c>
      <c r="E83" s="298">
        <v>27581</v>
      </c>
      <c r="F83" s="298">
        <v>27398.646000000001</v>
      </c>
      <c r="G83" s="298">
        <v>27398.646000000001</v>
      </c>
      <c r="H83" s="298"/>
      <c r="I83" s="298"/>
      <c r="J83" s="298"/>
      <c r="K83" s="298"/>
      <c r="L83" s="298"/>
      <c r="M83" s="298"/>
      <c r="N83" s="298"/>
      <c r="O83" s="298"/>
      <c r="P83" s="298"/>
      <c r="Q83" s="298">
        <v>966</v>
      </c>
      <c r="R83" s="298">
        <v>946.28499999999997</v>
      </c>
      <c r="S83" s="298">
        <v>946.28499999999997</v>
      </c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>
        <v>483.49900000000002</v>
      </c>
      <c r="AH83" s="298">
        <v>483.49900000000002</v>
      </c>
      <c r="AI83" s="299">
        <f>E83+H83+K83+Q83+T83+W83+AF83</f>
        <v>28547</v>
      </c>
      <c r="AJ83" s="299">
        <f t="shared" si="32"/>
        <v>28828.43</v>
      </c>
      <c r="AK83" s="299">
        <f>F83+I83+L83+R83+U83+X83+AG83</f>
        <v>28828.43</v>
      </c>
      <c r="AL83" s="299">
        <f>G83+J83+M83+S83+V83+Y83+AH83</f>
        <v>28828.43</v>
      </c>
      <c r="AM83" s="311">
        <f t="shared" si="33"/>
        <v>1</v>
      </c>
    </row>
    <row r="84" spans="1:39" s="282" customFormat="1" x14ac:dyDescent="0.25">
      <c r="A84" s="274">
        <v>82</v>
      </c>
      <c r="B84" s="274"/>
      <c r="C84" s="277"/>
      <c r="D84" s="294" t="s">
        <v>344</v>
      </c>
      <c r="E84" s="295">
        <f>SUM(E85:E86)</f>
        <v>5235.1000000000004</v>
      </c>
      <c r="F84" s="295">
        <f t="shared" ref="F84:V84" si="34">SUM(F85:F86)</f>
        <v>4154.491</v>
      </c>
      <c r="G84" s="295">
        <f t="shared" si="34"/>
        <v>4154.491</v>
      </c>
      <c r="H84" s="295">
        <f t="shared" si="34"/>
        <v>0</v>
      </c>
      <c r="I84" s="295">
        <f t="shared" si="34"/>
        <v>0</v>
      </c>
      <c r="J84" s="295">
        <f t="shared" si="34"/>
        <v>0</v>
      </c>
      <c r="K84" s="295">
        <f t="shared" si="34"/>
        <v>0</v>
      </c>
      <c r="L84" s="295">
        <f t="shared" si="34"/>
        <v>0</v>
      </c>
      <c r="M84" s="295">
        <f t="shared" si="34"/>
        <v>0</v>
      </c>
      <c r="N84" s="295">
        <f t="shared" si="34"/>
        <v>0</v>
      </c>
      <c r="O84" s="295">
        <f t="shared" si="34"/>
        <v>0</v>
      </c>
      <c r="P84" s="295">
        <f t="shared" si="34"/>
        <v>0</v>
      </c>
      <c r="Q84" s="295">
        <f t="shared" si="34"/>
        <v>17162</v>
      </c>
      <c r="R84" s="295">
        <f t="shared" si="34"/>
        <v>20456.557000000001</v>
      </c>
      <c r="S84" s="295">
        <f t="shared" si="34"/>
        <v>20456.557000000001</v>
      </c>
      <c r="T84" s="295">
        <f t="shared" si="34"/>
        <v>0</v>
      </c>
      <c r="U84" s="295">
        <f t="shared" si="34"/>
        <v>0</v>
      </c>
      <c r="V84" s="295">
        <f t="shared" si="34"/>
        <v>0</v>
      </c>
      <c r="W84" s="295">
        <f t="shared" ref="W84:AJ84" si="35">SUM(W85:W86)</f>
        <v>210</v>
      </c>
      <c r="X84" s="295">
        <f t="shared" si="35"/>
        <v>258</v>
      </c>
      <c r="Y84" s="295">
        <f t="shared" si="35"/>
        <v>258</v>
      </c>
      <c r="Z84" s="295">
        <f t="shared" si="35"/>
        <v>0</v>
      </c>
      <c r="AA84" s="295">
        <f t="shared" si="35"/>
        <v>0</v>
      </c>
      <c r="AB84" s="295">
        <f t="shared" si="35"/>
        <v>0</v>
      </c>
      <c r="AC84" s="295">
        <f t="shared" si="35"/>
        <v>0</v>
      </c>
      <c r="AD84" s="295">
        <f t="shared" si="35"/>
        <v>0</v>
      </c>
      <c r="AE84" s="295">
        <f t="shared" si="35"/>
        <v>0</v>
      </c>
      <c r="AF84" s="295">
        <f t="shared" si="35"/>
        <v>0</v>
      </c>
      <c r="AG84" s="295">
        <f t="shared" si="35"/>
        <v>8.4</v>
      </c>
      <c r="AH84" s="295">
        <f t="shared" si="35"/>
        <v>8.4</v>
      </c>
      <c r="AI84" s="295">
        <f>SUM(AI85:AI86)</f>
        <v>22607.1</v>
      </c>
      <c r="AJ84" s="295">
        <f t="shared" si="35"/>
        <v>24877.448</v>
      </c>
      <c r="AK84" s="295">
        <f>SUM(AK85:AK86)</f>
        <v>24877.448</v>
      </c>
      <c r="AL84" s="295">
        <f t="shared" ref="AL84" si="36">SUM(AL85:AL86)</f>
        <v>24877.448</v>
      </c>
      <c r="AM84" s="311">
        <f t="shared" si="33"/>
        <v>1</v>
      </c>
    </row>
    <row r="85" spans="1:39" x14ac:dyDescent="0.25">
      <c r="A85" s="274">
        <v>83</v>
      </c>
      <c r="B85" s="274"/>
      <c r="C85" s="274" t="s">
        <v>207</v>
      </c>
      <c r="D85" s="297" t="s">
        <v>238</v>
      </c>
      <c r="E85" s="298">
        <v>1330.1</v>
      </c>
      <c r="F85" s="298">
        <v>1245.4780000000001</v>
      </c>
      <c r="G85" s="298">
        <v>1245.4780000000001</v>
      </c>
      <c r="H85" s="298"/>
      <c r="I85" s="298"/>
      <c r="J85" s="298"/>
      <c r="K85" s="298"/>
      <c r="L85" s="298"/>
      <c r="M85" s="298"/>
      <c r="N85" s="298"/>
      <c r="O85" s="298"/>
      <c r="P85" s="298"/>
      <c r="Q85" s="298">
        <v>2004</v>
      </c>
      <c r="R85" s="298">
        <v>2162.855</v>
      </c>
      <c r="S85" s="298">
        <v>2162.855</v>
      </c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>
        <v>8.4</v>
      </c>
      <c r="AH85" s="298">
        <v>8.4</v>
      </c>
      <c r="AI85" s="299">
        <f>E85+H85+K85+Q85+T85+W85+AF85</f>
        <v>3334.1</v>
      </c>
      <c r="AJ85" s="299">
        <f t="shared" ref="AJ85" si="37">F85+I85+L85+R85+U85+X85+AG85</f>
        <v>3416.7330000000002</v>
      </c>
      <c r="AK85" s="299">
        <f>F85+I85+L85+O85+R85+X85+AG85</f>
        <v>3416.7330000000002</v>
      </c>
      <c r="AL85" s="299">
        <f>G85+AH85+S85</f>
        <v>3416.7330000000002</v>
      </c>
      <c r="AM85" s="311">
        <f t="shared" si="33"/>
        <v>1</v>
      </c>
    </row>
    <row r="86" spans="1:39" x14ac:dyDescent="0.25">
      <c r="A86" s="274">
        <v>84</v>
      </c>
      <c r="B86" s="274"/>
      <c r="C86" s="274" t="s">
        <v>213</v>
      </c>
      <c r="D86" s="297" t="s">
        <v>239</v>
      </c>
      <c r="E86" s="298">
        <v>3905</v>
      </c>
      <c r="F86" s="298">
        <v>2909.0129999999999</v>
      </c>
      <c r="G86" s="298">
        <v>2909.0129999999999</v>
      </c>
      <c r="H86" s="298"/>
      <c r="I86" s="298"/>
      <c r="J86" s="298"/>
      <c r="K86" s="298"/>
      <c r="L86" s="298"/>
      <c r="M86" s="298"/>
      <c r="N86" s="298"/>
      <c r="O86" s="298"/>
      <c r="P86" s="298"/>
      <c r="Q86" s="298">
        <v>15158</v>
      </c>
      <c r="R86" s="298">
        <v>18293.702000000001</v>
      </c>
      <c r="S86" s="298">
        <v>18293.702000000001</v>
      </c>
      <c r="T86" s="298"/>
      <c r="U86" s="298"/>
      <c r="V86" s="298"/>
      <c r="W86" s="298">
        <v>210</v>
      </c>
      <c r="X86" s="298">
        <v>258</v>
      </c>
      <c r="Y86" s="298">
        <v>258</v>
      </c>
      <c r="Z86" s="298"/>
      <c r="AA86" s="298"/>
      <c r="AB86" s="298"/>
      <c r="AC86" s="298"/>
      <c r="AD86" s="298"/>
      <c r="AE86" s="298"/>
      <c r="AF86" s="298"/>
      <c r="AG86" s="298"/>
      <c r="AH86" s="298"/>
      <c r="AI86" s="299">
        <f>E86+H86+K86+Q86+T86+W86+AF86</f>
        <v>19273</v>
      </c>
      <c r="AJ86" s="299">
        <f>F86+I86+L86+R86+U86+X86+AG86</f>
        <v>21460.715</v>
      </c>
      <c r="AK86" s="299">
        <f>F86+I86+L86+R86+U86+X86+AG86</f>
        <v>21460.715</v>
      </c>
      <c r="AL86" s="299">
        <f>G86+J86+M86+S86+V86+Y86+AH86</f>
        <v>21460.715</v>
      </c>
      <c r="AM86" s="311">
        <f t="shared" si="33"/>
        <v>1</v>
      </c>
    </row>
    <row r="87" spans="1:39" x14ac:dyDescent="0.25">
      <c r="A87" s="274">
        <v>85</v>
      </c>
      <c r="B87" s="274"/>
      <c r="C87" s="274"/>
      <c r="D87" s="297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9"/>
      <c r="AJ87" s="300"/>
      <c r="AK87" s="301"/>
      <c r="AL87" s="296"/>
      <c r="AM87" s="311"/>
    </row>
    <row r="88" spans="1:39" s="282" customFormat="1" ht="15.75" x14ac:dyDescent="0.25">
      <c r="A88" s="274">
        <v>86</v>
      </c>
      <c r="B88" s="274"/>
      <c r="C88" s="277"/>
      <c r="D88" s="276" t="s">
        <v>242</v>
      </c>
      <c r="E88" s="295">
        <f>E74+E78+E81+E70+E84</f>
        <v>268683.26499999996</v>
      </c>
      <c r="F88" s="295">
        <f t="shared" ref="F88:AJ88" si="38">F74+F78+F81+F70+F84</f>
        <v>69495.903999999995</v>
      </c>
      <c r="G88" s="295">
        <f t="shared" si="38"/>
        <v>69031.592000000004</v>
      </c>
      <c r="H88" s="295">
        <f t="shared" si="38"/>
        <v>102821</v>
      </c>
      <c r="I88" s="295">
        <f t="shared" si="38"/>
        <v>114533.88800000001</v>
      </c>
      <c r="J88" s="295">
        <f t="shared" si="38"/>
        <v>114533.37999999998</v>
      </c>
      <c r="K88" s="295">
        <f t="shared" si="38"/>
        <v>299157.57900000003</v>
      </c>
      <c r="L88" s="295">
        <f t="shared" si="38"/>
        <v>333402.36300000013</v>
      </c>
      <c r="M88" s="295">
        <f t="shared" si="38"/>
        <v>333402.36300000013</v>
      </c>
      <c r="N88" s="295">
        <f t="shared" si="38"/>
        <v>15000</v>
      </c>
      <c r="O88" s="295">
        <f t="shared" si="38"/>
        <v>15000</v>
      </c>
      <c r="P88" s="295">
        <f t="shared" si="38"/>
        <v>15000</v>
      </c>
      <c r="Q88" s="295">
        <f t="shared" si="38"/>
        <v>148870</v>
      </c>
      <c r="R88" s="295">
        <f t="shared" si="38"/>
        <v>181692.71799999999</v>
      </c>
      <c r="S88" s="295">
        <f t="shared" si="38"/>
        <v>173175.967</v>
      </c>
      <c r="T88" s="295">
        <f t="shared" si="38"/>
        <v>307909</v>
      </c>
      <c r="U88" s="295">
        <f t="shared" si="38"/>
        <v>300726.55499999999</v>
      </c>
      <c r="V88" s="295">
        <f t="shared" si="38"/>
        <v>208437.245</v>
      </c>
      <c r="W88" s="295">
        <f t="shared" si="38"/>
        <v>210</v>
      </c>
      <c r="X88" s="295">
        <f t="shared" si="38"/>
        <v>258</v>
      </c>
      <c r="Y88" s="295">
        <f t="shared" si="38"/>
        <v>258</v>
      </c>
      <c r="Z88" s="295">
        <f t="shared" si="38"/>
        <v>0</v>
      </c>
      <c r="AA88" s="295">
        <f t="shared" si="38"/>
        <v>0</v>
      </c>
      <c r="AB88" s="295">
        <f t="shared" si="38"/>
        <v>0</v>
      </c>
      <c r="AC88" s="295">
        <f t="shared" si="38"/>
        <v>0</v>
      </c>
      <c r="AD88" s="295">
        <f t="shared" si="38"/>
        <v>0</v>
      </c>
      <c r="AE88" s="295">
        <f t="shared" si="38"/>
        <v>0</v>
      </c>
      <c r="AF88" s="295">
        <f t="shared" si="38"/>
        <v>457973.75299999997</v>
      </c>
      <c r="AG88" s="295">
        <f t="shared" si="38"/>
        <v>511889.42300000001</v>
      </c>
      <c r="AH88" s="295">
        <f t="shared" si="38"/>
        <v>511889.42300000001</v>
      </c>
      <c r="AI88" s="295">
        <f t="shared" si="38"/>
        <v>1600624.5970000001</v>
      </c>
      <c r="AJ88" s="295">
        <f t="shared" si="38"/>
        <v>1350348.9640000004</v>
      </c>
      <c r="AK88" s="295">
        <f>AK74+AK78+AK81+AK70+AK84</f>
        <v>1526998.851</v>
      </c>
      <c r="AL88" s="295">
        <f>AL74+AL78+AL81+AL70+AL84</f>
        <v>1425727.97</v>
      </c>
      <c r="AM88" s="311">
        <f t="shared" si="33"/>
        <v>0.93367979227117304</v>
      </c>
    </row>
    <row r="89" spans="1:39" s="282" customFormat="1" ht="15.75" x14ac:dyDescent="0.25">
      <c r="A89" s="274">
        <v>87</v>
      </c>
      <c r="B89" s="274"/>
      <c r="C89" s="277"/>
      <c r="D89" s="276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3"/>
      <c r="AK89" s="304"/>
      <c r="AL89" s="296"/>
      <c r="AM89" s="311"/>
    </row>
    <row r="90" spans="1:39" x14ac:dyDescent="0.25">
      <c r="A90" s="274">
        <v>88</v>
      </c>
      <c r="B90" s="274"/>
      <c r="C90" s="286"/>
      <c r="D90" s="286" t="s">
        <v>243</v>
      </c>
      <c r="E90" s="293">
        <f>E71+E75+E79+E82+E85</f>
        <v>234697.26500000001</v>
      </c>
      <c r="F90" s="520">
        <f>F71+F75+F79+F82+F85</f>
        <v>34838.145000000004</v>
      </c>
      <c r="G90" s="293">
        <f>G71+G75+G79+G82+G85</f>
        <v>34374.006999999998</v>
      </c>
      <c r="H90" s="293">
        <f t="shared" ref="H90:W90" si="39">H71+H75+H79+H82+H85</f>
        <v>102821</v>
      </c>
      <c r="I90" s="520">
        <f t="shared" ref="I90:J90" si="40">I71+I75+I79+I82+I85</f>
        <v>114533.88800000001</v>
      </c>
      <c r="J90" s="293">
        <f t="shared" si="40"/>
        <v>114533.37999999998</v>
      </c>
      <c r="K90" s="293">
        <f>K71+K75+K79+K82+K85</f>
        <v>257157.57900000003</v>
      </c>
      <c r="L90" s="293">
        <f>L71+L75+L79+L82+L85</f>
        <v>267299.93400000007</v>
      </c>
      <c r="M90" s="520">
        <f>M71+M75+M79+M82+M85</f>
        <v>267299.93400000012</v>
      </c>
      <c r="N90" s="293">
        <f t="shared" ref="N90" si="41">N71+N75+N79+N82+N85</f>
        <v>0</v>
      </c>
      <c r="O90" s="293">
        <f>O71+O75+O79+O82+O85</f>
        <v>0</v>
      </c>
      <c r="P90" s="293">
        <f t="shared" ref="P90" si="42">P71+P75+P79+P82+P85</f>
        <v>0</v>
      </c>
      <c r="Q90" s="293">
        <f t="shared" si="39"/>
        <v>116377</v>
      </c>
      <c r="R90" s="520">
        <f t="shared" ref="R90:S90" si="43">R71+R75+R79+R82+R85</f>
        <v>120381.223</v>
      </c>
      <c r="S90" s="293">
        <f t="shared" si="43"/>
        <v>112984.45</v>
      </c>
      <c r="T90" s="293">
        <f t="shared" si="39"/>
        <v>0</v>
      </c>
      <c r="U90" s="520">
        <f t="shared" ref="U90:V90" si="44">U71+U75+U79+U82+U85</f>
        <v>1328</v>
      </c>
      <c r="V90" s="293">
        <f t="shared" si="44"/>
        <v>1327.28</v>
      </c>
      <c r="W90" s="293">
        <f t="shared" si="39"/>
        <v>0</v>
      </c>
      <c r="X90" s="293">
        <f t="shared" ref="X90:AA90" si="45">X71+X75+X79+X82+X85</f>
        <v>0</v>
      </c>
      <c r="Y90" s="293">
        <f t="shared" ref="Y90" si="46">Y71+Y75+Y79+Y82+Y85</f>
        <v>0</v>
      </c>
      <c r="Z90" s="293">
        <f t="shared" si="45"/>
        <v>0</v>
      </c>
      <c r="AA90" s="293">
        <f t="shared" si="45"/>
        <v>0</v>
      </c>
      <c r="AB90" s="293">
        <f t="shared" ref="AB90:AE90" si="47">AB71+AB75+AB79+AB82+AB85</f>
        <v>0</v>
      </c>
      <c r="AC90" s="293">
        <f t="shared" si="47"/>
        <v>0</v>
      </c>
      <c r="AD90" s="293">
        <f t="shared" si="47"/>
        <v>0</v>
      </c>
      <c r="AE90" s="293">
        <f t="shared" si="47"/>
        <v>0</v>
      </c>
      <c r="AF90" s="293">
        <f>AF71+AF75+AF79+AF82+AF85</f>
        <v>22555.454000000002</v>
      </c>
      <c r="AG90" s="520">
        <f>AG71+AG75+AG79+AG82+AG85-28864.231</f>
        <v>9380.0610000000015</v>
      </c>
      <c r="AH90" s="293">
        <f>AH71+AH75+AH79+AH82+AH85-28864.231</f>
        <v>9380.0610000000015</v>
      </c>
      <c r="AI90" s="293">
        <f>AI71+AI75+AI79+AI82+AI85</f>
        <v>733608.29799999995</v>
      </c>
      <c r="AJ90" s="293">
        <f t="shared" ref="AJ90" si="48">AJ71+AJ75+AJ79+AJ82+AJ85</f>
        <v>576625.48200000008</v>
      </c>
      <c r="AK90" s="293">
        <f>AK71+AK75+AK79+AK82+AK85-28864.231</f>
        <v>547761.25100000005</v>
      </c>
      <c r="AL90" s="293">
        <f>AL71+AL75+AL79+AL82+AL85-28864.231</f>
        <v>539899.1120000002</v>
      </c>
      <c r="AM90" s="311">
        <f t="shared" si="33"/>
        <v>0.9856467777053477</v>
      </c>
    </row>
    <row r="91" spans="1:39" x14ac:dyDescent="0.25">
      <c r="A91" s="274">
        <v>89</v>
      </c>
      <c r="B91" s="274"/>
      <c r="C91" s="286"/>
      <c r="D91" s="286" t="s">
        <v>244</v>
      </c>
      <c r="E91" s="293">
        <f>E73+E76+E80+E83+E86</f>
        <v>33986</v>
      </c>
      <c r="F91" s="293">
        <f>F73+F76+F80+F83+F86</f>
        <v>34657.758999999998</v>
      </c>
      <c r="G91" s="293">
        <f>G73+G76+G80+G83+G86</f>
        <v>34657.584999999999</v>
      </c>
      <c r="H91" s="293">
        <f t="shared" ref="H91:AI91" si="49">H73+H76+H80+H83+H86</f>
        <v>0</v>
      </c>
      <c r="I91" s="293">
        <f t="shared" ref="I91:J91" si="50">I73+I76+I80+I83+I86</f>
        <v>0</v>
      </c>
      <c r="J91" s="293">
        <f t="shared" si="50"/>
        <v>0</v>
      </c>
      <c r="K91" s="293">
        <f>K73+K76+K80+K83+K86</f>
        <v>34830</v>
      </c>
      <c r="L91" s="293">
        <f>L73+L76+L80+L83+L86</f>
        <v>58932.429000000004</v>
      </c>
      <c r="M91" s="293">
        <f>M73+M76+M80+M83+M86</f>
        <v>58932.429000000004</v>
      </c>
      <c r="N91" s="293">
        <f t="shared" ref="N91:O91" si="51">N73+N76+N80+N83+N86</f>
        <v>15000</v>
      </c>
      <c r="O91" s="293">
        <f t="shared" si="51"/>
        <v>15000</v>
      </c>
      <c r="P91" s="293">
        <f>P73+P76+P80+P83+P86</f>
        <v>15000</v>
      </c>
      <c r="Q91" s="293">
        <f t="shared" si="49"/>
        <v>32493</v>
      </c>
      <c r="R91" s="293">
        <f t="shared" ref="R91:S91" si="52">R73+R76+R80+R83+R86</f>
        <v>61311.49500000001</v>
      </c>
      <c r="S91" s="293">
        <f t="shared" si="52"/>
        <v>60191.517000000007</v>
      </c>
      <c r="T91" s="293">
        <f t="shared" si="49"/>
        <v>307909</v>
      </c>
      <c r="U91" s="293">
        <f t="shared" ref="U91:V91" si="53">U73+U76+U80+U83+U86</f>
        <v>299398.55499999999</v>
      </c>
      <c r="V91" s="293">
        <f t="shared" si="53"/>
        <v>207109.965</v>
      </c>
      <c r="W91" s="293">
        <f t="shared" si="49"/>
        <v>210</v>
      </c>
      <c r="X91" s="293">
        <f t="shared" ref="X91:AA91" si="54">X73+X76+X80+X83+X86</f>
        <v>258</v>
      </c>
      <c r="Y91" s="293">
        <f t="shared" ref="Y91" si="55">Y73+Y76+Y80+Y83+Y86</f>
        <v>258</v>
      </c>
      <c r="Z91" s="293">
        <f t="shared" si="54"/>
        <v>0</v>
      </c>
      <c r="AA91" s="293">
        <f t="shared" si="54"/>
        <v>0</v>
      </c>
      <c r="AB91" s="293">
        <f t="shared" ref="AB91:AE91" si="56">AB73+AB76+AB80+AB83+AB86</f>
        <v>0</v>
      </c>
      <c r="AC91" s="293">
        <f t="shared" si="56"/>
        <v>0</v>
      </c>
      <c r="AD91" s="293">
        <f t="shared" si="56"/>
        <v>0</v>
      </c>
      <c r="AE91" s="293">
        <f t="shared" si="56"/>
        <v>0</v>
      </c>
      <c r="AF91" s="293">
        <f>AF73</f>
        <v>435418.299</v>
      </c>
      <c r="AG91" s="293">
        <f>AG73+AG83+28864.231</f>
        <v>502509.36199999996</v>
      </c>
      <c r="AH91" s="293">
        <f>AH73+AH83+28864.231</f>
        <v>502509.36199999996</v>
      </c>
      <c r="AI91" s="293">
        <f t="shared" si="49"/>
        <v>859846.299</v>
      </c>
      <c r="AJ91" s="293">
        <f t="shared" ref="AJ91" si="57">AJ73+AJ76+AJ80+AJ83+AJ86</f>
        <v>873211.81300000008</v>
      </c>
      <c r="AK91" s="293">
        <f>AK73+AK76+AK80+AK83+AK86+28864.231</f>
        <v>972067.6</v>
      </c>
      <c r="AL91" s="293">
        <f>AL73+AL76+AL80+AL83+AL86+28864.231</f>
        <v>878658.85800000001</v>
      </c>
      <c r="AM91" s="311">
        <f t="shared" si="33"/>
        <v>0.90390715419380296</v>
      </c>
    </row>
    <row r="92" spans="1:39" x14ac:dyDescent="0.25">
      <c r="A92" s="274">
        <v>90</v>
      </c>
      <c r="B92" s="274"/>
      <c r="C92" s="286"/>
      <c r="D92" s="286" t="s">
        <v>349</v>
      </c>
      <c r="E92" s="293">
        <f>E77</f>
        <v>0</v>
      </c>
      <c r="F92" s="293">
        <f>F77</f>
        <v>0</v>
      </c>
      <c r="G92" s="293">
        <f>G77</f>
        <v>0</v>
      </c>
      <c r="H92" s="293">
        <f t="shared" ref="H92:AF92" si="58">H77</f>
        <v>0</v>
      </c>
      <c r="I92" s="293">
        <f t="shared" ref="I92:J92" si="59">I77</f>
        <v>0</v>
      </c>
      <c r="J92" s="293">
        <f t="shared" si="59"/>
        <v>0</v>
      </c>
      <c r="K92" s="293">
        <f>K77+K72</f>
        <v>7170</v>
      </c>
      <c r="L92" s="293">
        <f>L77+L72</f>
        <v>7170</v>
      </c>
      <c r="M92" s="293">
        <f>M77+M72</f>
        <v>7170</v>
      </c>
      <c r="N92" s="293">
        <f t="shared" ref="N92:O92" si="60">N77+N72</f>
        <v>0</v>
      </c>
      <c r="O92" s="293">
        <f t="shared" si="60"/>
        <v>0</v>
      </c>
      <c r="P92" s="293">
        <f t="shared" ref="P92" si="61">P77+P72</f>
        <v>0</v>
      </c>
      <c r="Q92" s="293">
        <f t="shared" si="58"/>
        <v>0</v>
      </c>
      <c r="R92" s="293">
        <f t="shared" ref="R92:S92" si="62">R77</f>
        <v>0</v>
      </c>
      <c r="S92" s="293">
        <f t="shared" si="62"/>
        <v>0</v>
      </c>
      <c r="T92" s="293">
        <f t="shared" si="58"/>
        <v>0</v>
      </c>
      <c r="U92" s="293">
        <f t="shared" ref="U92:V92" si="63">U77</f>
        <v>0</v>
      </c>
      <c r="V92" s="293">
        <f t="shared" si="63"/>
        <v>0</v>
      </c>
      <c r="W92" s="293">
        <f t="shared" si="58"/>
        <v>0</v>
      </c>
      <c r="X92" s="293">
        <f t="shared" ref="X92:AA92" si="64">X77</f>
        <v>0</v>
      </c>
      <c r="Y92" s="293">
        <f t="shared" ref="Y92" si="65">Y77</f>
        <v>0</v>
      </c>
      <c r="Z92" s="293">
        <f t="shared" si="64"/>
        <v>0</v>
      </c>
      <c r="AA92" s="293">
        <f t="shared" si="64"/>
        <v>0</v>
      </c>
      <c r="AB92" s="293">
        <f t="shared" ref="AB92:AE92" si="66">AB77</f>
        <v>0</v>
      </c>
      <c r="AC92" s="293">
        <f t="shared" si="66"/>
        <v>0</v>
      </c>
      <c r="AD92" s="293">
        <f t="shared" si="66"/>
        <v>0</v>
      </c>
      <c r="AE92" s="293">
        <f t="shared" si="66"/>
        <v>0</v>
      </c>
      <c r="AF92" s="293">
        <f t="shared" si="58"/>
        <v>0</v>
      </c>
      <c r="AG92" s="293">
        <f t="shared" ref="AG92:AH92" si="67">AG77</f>
        <v>0</v>
      </c>
      <c r="AH92" s="293">
        <f t="shared" si="67"/>
        <v>0</v>
      </c>
      <c r="AI92" s="293">
        <f>AI77+AI72</f>
        <v>7170</v>
      </c>
      <c r="AJ92" s="293">
        <f t="shared" ref="AJ92" si="68">AJ77+AJ72</f>
        <v>5525</v>
      </c>
      <c r="AK92" s="293">
        <f>AK77+AK72</f>
        <v>7170</v>
      </c>
      <c r="AL92" s="293">
        <f>AL77+AL72</f>
        <v>7170</v>
      </c>
      <c r="AM92" s="311">
        <f t="shared" si="33"/>
        <v>1</v>
      </c>
    </row>
    <row r="93" spans="1:39" s="282" customFormat="1" x14ac:dyDescent="0.25">
      <c r="A93" s="274">
        <v>91</v>
      </c>
      <c r="B93" s="274"/>
      <c r="C93" s="305"/>
      <c r="D93" s="305" t="s">
        <v>245</v>
      </c>
      <c r="E93" s="306">
        <f>SUM(E90:E91)</f>
        <v>268683.26500000001</v>
      </c>
      <c r="F93" s="306">
        <f>SUM(F90:F91)</f>
        <v>69495.90400000001</v>
      </c>
      <c r="G93" s="502">
        <f>SUM(G90:G91)</f>
        <v>69031.592000000004</v>
      </c>
      <c r="H93" s="306">
        <f t="shared" ref="H93:AF93" si="69">SUM(H90:H91)</f>
        <v>102821</v>
      </c>
      <c r="I93" s="306">
        <f t="shared" ref="I93:J93" si="70">SUM(I90:I91)</f>
        <v>114533.88800000001</v>
      </c>
      <c r="J93" s="502">
        <f t="shared" si="70"/>
        <v>114533.37999999998</v>
      </c>
      <c r="K93" s="306">
        <f>SUM(K90:K92)</f>
        <v>299157.57900000003</v>
      </c>
      <c r="L93" s="306">
        <f>SUM(L90:L92)</f>
        <v>333402.36300000007</v>
      </c>
      <c r="M93" s="502">
        <f>SUM(M90:M92)</f>
        <v>333402.36300000013</v>
      </c>
      <c r="N93" s="306">
        <f t="shared" ref="N93:O93" si="71">SUM(N90:N92)</f>
        <v>15000</v>
      </c>
      <c r="O93" s="306">
        <f t="shared" si="71"/>
        <v>15000</v>
      </c>
      <c r="P93" s="502">
        <f t="shared" ref="P93" si="72">SUM(P90:P92)</f>
        <v>15000</v>
      </c>
      <c r="Q93" s="306">
        <f t="shared" si="69"/>
        <v>148870</v>
      </c>
      <c r="R93" s="306">
        <f t="shared" ref="R93" si="73">SUM(R90:R91)</f>
        <v>181692.71799999999</v>
      </c>
      <c r="S93" s="502">
        <f>SUM(S90:S91)</f>
        <v>173175.967</v>
      </c>
      <c r="T93" s="306">
        <f t="shared" si="69"/>
        <v>307909</v>
      </c>
      <c r="U93" s="306">
        <f t="shared" ref="U93:V93" si="74">SUM(U90:U91)</f>
        <v>300726.55499999999</v>
      </c>
      <c r="V93" s="502">
        <f t="shared" si="74"/>
        <v>208437.245</v>
      </c>
      <c r="W93" s="306">
        <f t="shared" si="69"/>
        <v>210</v>
      </c>
      <c r="X93" s="306">
        <f t="shared" ref="X93:AA93" si="75">SUM(X90:X91)</f>
        <v>258</v>
      </c>
      <c r="Y93" s="502">
        <f t="shared" ref="Y93" si="76">SUM(Y90:Y91)</f>
        <v>258</v>
      </c>
      <c r="Z93" s="306">
        <f t="shared" si="75"/>
        <v>0</v>
      </c>
      <c r="AA93" s="306">
        <f t="shared" si="75"/>
        <v>0</v>
      </c>
      <c r="AB93" s="306">
        <f t="shared" ref="AB93:AE93" si="77">SUM(AB90:AB91)</f>
        <v>0</v>
      </c>
      <c r="AC93" s="306">
        <f t="shared" si="77"/>
        <v>0</v>
      </c>
      <c r="AD93" s="306">
        <f t="shared" si="77"/>
        <v>0</v>
      </c>
      <c r="AE93" s="306">
        <f t="shared" si="77"/>
        <v>0</v>
      </c>
      <c r="AF93" s="306">
        <f t="shared" si="69"/>
        <v>457973.75300000003</v>
      </c>
      <c r="AG93" s="306">
        <f t="shared" ref="AG93:AH93" si="78">SUM(AG90:AG91)</f>
        <v>511889.42299999995</v>
      </c>
      <c r="AH93" s="502">
        <f t="shared" si="78"/>
        <v>511889.42299999995</v>
      </c>
      <c r="AI93" s="306">
        <f>SUM(AI90:AI92)</f>
        <v>1600624.5970000001</v>
      </c>
      <c r="AJ93" s="306">
        <f t="shared" ref="AJ93" si="79">SUM(AJ90:AJ92)</f>
        <v>1455362.2950000002</v>
      </c>
      <c r="AK93" s="306">
        <f>SUM(AK90:AK92)</f>
        <v>1526998.851</v>
      </c>
      <c r="AL93" s="306">
        <f>SUM(AL90:AL92)</f>
        <v>1425727.9700000002</v>
      </c>
      <c r="AM93" s="311">
        <f t="shared" si="33"/>
        <v>0.93367979227117326</v>
      </c>
    </row>
    <row r="96" spans="1:39" x14ac:dyDescent="0.25">
      <c r="T96" s="273" t="s">
        <v>246</v>
      </c>
      <c r="W96" s="273">
        <v>26133.054</v>
      </c>
    </row>
    <row r="97" spans="20:23" x14ac:dyDescent="0.25">
      <c r="T97" s="273" t="s">
        <v>303</v>
      </c>
      <c r="W97" s="273">
        <v>6483.085</v>
      </c>
    </row>
    <row r="98" spans="20:23" x14ac:dyDescent="0.25">
      <c r="T98" s="273" t="s">
        <v>247</v>
      </c>
      <c r="W98" s="273">
        <v>87742.762000000002</v>
      </c>
    </row>
    <row r="99" spans="20:23" x14ac:dyDescent="0.25">
      <c r="T99" s="273" t="s">
        <v>312</v>
      </c>
      <c r="W99" s="273">
        <f>SUM(W96:W98)</f>
        <v>120358.901</v>
      </c>
    </row>
    <row r="100" spans="20:23" x14ac:dyDescent="0.25">
      <c r="T100" s="273" t="s">
        <v>401</v>
      </c>
      <c r="W100" s="273">
        <v>10610.254000000001</v>
      </c>
    </row>
  </sheetData>
  <mergeCells count="13">
    <mergeCell ref="W1:AI1"/>
    <mergeCell ref="E3:G3"/>
    <mergeCell ref="H3:J3"/>
    <mergeCell ref="K3:M3"/>
    <mergeCell ref="N3:P3"/>
    <mergeCell ref="AC3:AE3"/>
    <mergeCell ref="AI3:AM3"/>
    <mergeCell ref="D2:AM2"/>
    <mergeCell ref="Q3:S3"/>
    <mergeCell ref="T3:V3"/>
    <mergeCell ref="W3:Y3"/>
    <mergeCell ref="Z3:AB3"/>
    <mergeCell ref="AF3:AH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0"/>
  <sheetViews>
    <sheetView view="pageBreakPreview" zoomScaleNormal="100" zoomScaleSheetLayoutView="10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C2" sqref="C2:AE2"/>
    </sheetView>
  </sheetViews>
  <sheetFormatPr defaultRowHeight="15" x14ac:dyDescent="0.25"/>
  <cols>
    <col min="1" max="1" width="6.140625" style="47" customWidth="1"/>
    <col min="2" max="2" width="15.7109375" style="47" customWidth="1"/>
    <col min="3" max="3" width="31.28515625" style="47" bestFit="1" customWidth="1"/>
    <col min="4" max="4" width="9.28515625" style="47" bestFit="1" customWidth="1"/>
    <col min="5" max="5" width="8.42578125" style="47" bestFit="1" customWidth="1"/>
    <col min="6" max="6" width="9.5703125" style="47" bestFit="1" customWidth="1"/>
    <col min="7" max="7" width="9.28515625" style="47" bestFit="1" customWidth="1"/>
    <col min="8" max="8" width="7.140625" style="47" bestFit="1" customWidth="1"/>
    <col min="9" max="9" width="8.5703125" style="47" bestFit="1" customWidth="1"/>
    <col min="10" max="10" width="9.28515625" style="47" bestFit="1" customWidth="1"/>
    <col min="11" max="12" width="10.140625" style="47" bestFit="1" customWidth="1"/>
    <col min="13" max="13" width="9.28515625" style="47" bestFit="1" customWidth="1"/>
    <col min="14" max="15" width="10.140625" style="47" bestFit="1" customWidth="1"/>
    <col min="16" max="16" width="9.28515625" style="47" bestFit="1" customWidth="1"/>
    <col min="17" max="17" width="7.140625" style="47" bestFit="1" customWidth="1"/>
    <col min="18" max="18" width="8.5703125" style="47" bestFit="1" customWidth="1"/>
    <col min="19" max="19" width="9.28515625" style="47" bestFit="1" customWidth="1"/>
    <col min="20" max="20" width="7.140625" style="47" bestFit="1" customWidth="1"/>
    <col min="21" max="21" width="8.5703125" style="47" bestFit="1" customWidth="1"/>
    <col min="22" max="24" width="11.28515625" style="47" bestFit="1" customWidth="1"/>
    <col min="25" max="25" width="9.28515625" style="47" bestFit="1" customWidth="1"/>
    <col min="26" max="26" width="8.42578125" style="47" bestFit="1" customWidth="1"/>
    <col min="27" max="27" width="8.5703125" style="47" bestFit="1" customWidth="1"/>
    <col min="28" max="30" width="11.28515625" style="47" bestFit="1" customWidth="1"/>
    <col min="31" max="31" width="10.140625" style="47" customWidth="1"/>
    <col min="32" max="16384" width="9.140625" style="47"/>
  </cols>
  <sheetData>
    <row r="1" spans="1:31" x14ac:dyDescent="0.25">
      <c r="P1" s="839" t="s">
        <v>1021</v>
      </c>
      <c r="Q1" s="839"/>
      <c r="R1" s="839"/>
      <c r="S1" s="839"/>
      <c r="T1" s="839"/>
      <c r="U1" s="839"/>
      <c r="V1" s="839"/>
      <c r="W1" s="839"/>
      <c r="X1" s="839"/>
      <c r="Y1" s="839"/>
      <c r="Z1" s="839"/>
      <c r="AA1" s="839"/>
      <c r="AB1" s="839"/>
    </row>
    <row r="2" spans="1:31" ht="54.75" customHeight="1" x14ac:dyDescent="0.25">
      <c r="A2" s="46">
        <v>1</v>
      </c>
      <c r="B2" s="46"/>
      <c r="C2" s="843" t="s">
        <v>547</v>
      </c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844"/>
      <c r="AB2" s="844"/>
      <c r="AC2" s="844"/>
      <c r="AD2" s="844"/>
      <c r="AE2" s="845"/>
    </row>
    <row r="3" spans="1:31" ht="81.75" customHeight="1" x14ac:dyDescent="0.25">
      <c r="A3" s="46">
        <v>2</v>
      </c>
      <c r="B3" s="48" t="s">
        <v>198</v>
      </c>
      <c r="C3" s="49" t="s">
        <v>199</v>
      </c>
      <c r="D3" s="840" t="s">
        <v>159</v>
      </c>
      <c r="E3" s="841"/>
      <c r="F3" s="842"/>
      <c r="G3" s="840" t="s">
        <v>158</v>
      </c>
      <c r="H3" s="841"/>
      <c r="I3" s="842"/>
      <c r="J3" s="840" t="s">
        <v>201</v>
      </c>
      <c r="K3" s="841"/>
      <c r="L3" s="842"/>
      <c r="M3" s="840" t="s">
        <v>202</v>
      </c>
      <c r="N3" s="841"/>
      <c r="O3" s="842"/>
      <c r="P3" s="840" t="s">
        <v>203</v>
      </c>
      <c r="Q3" s="841"/>
      <c r="R3" s="842"/>
      <c r="S3" s="840" t="s">
        <v>248</v>
      </c>
      <c r="T3" s="841"/>
      <c r="U3" s="842"/>
      <c r="V3" s="840" t="s">
        <v>249</v>
      </c>
      <c r="W3" s="841"/>
      <c r="X3" s="842"/>
      <c r="Y3" s="840" t="s">
        <v>330</v>
      </c>
      <c r="Z3" s="841"/>
      <c r="AA3" s="842"/>
      <c r="AB3" s="840" t="s">
        <v>205</v>
      </c>
      <c r="AC3" s="841"/>
      <c r="AD3" s="841"/>
      <c r="AE3" s="842"/>
    </row>
    <row r="4" spans="1:31" ht="30" x14ac:dyDescent="0.25">
      <c r="A4" s="227">
        <v>3</v>
      </c>
      <c r="B4" s="227"/>
      <c r="C4" s="228" t="s">
        <v>250</v>
      </c>
      <c r="D4" s="231" t="s">
        <v>402</v>
      </c>
      <c r="E4" s="102" t="s">
        <v>399</v>
      </c>
      <c r="F4" s="102" t="s">
        <v>392</v>
      </c>
      <c r="G4" s="231" t="s">
        <v>402</v>
      </c>
      <c r="H4" s="102" t="s">
        <v>399</v>
      </c>
      <c r="I4" s="102" t="s">
        <v>403</v>
      </c>
      <c r="J4" s="231" t="s">
        <v>402</v>
      </c>
      <c r="K4" s="102" t="s">
        <v>399</v>
      </c>
      <c r="L4" s="102" t="s">
        <v>404</v>
      </c>
      <c r="M4" s="231" t="s">
        <v>405</v>
      </c>
      <c r="N4" s="102" t="s">
        <v>399</v>
      </c>
      <c r="O4" s="102" t="s">
        <v>403</v>
      </c>
      <c r="P4" s="231" t="s">
        <v>402</v>
      </c>
      <c r="Q4" s="102" t="s">
        <v>399</v>
      </c>
      <c r="R4" s="102" t="s">
        <v>406</v>
      </c>
      <c r="S4" s="231" t="s">
        <v>402</v>
      </c>
      <c r="T4" s="102" t="s">
        <v>399</v>
      </c>
      <c r="U4" s="102" t="s">
        <v>406</v>
      </c>
      <c r="V4" s="231" t="s">
        <v>402</v>
      </c>
      <c r="W4" s="102" t="s">
        <v>399</v>
      </c>
      <c r="X4" s="102" t="s">
        <v>403</v>
      </c>
      <c r="Y4" s="231" t="s">
        <v>402</v>
      </c>
      <c r="Z4" s="102" t="s">
        <v>399</v>
      </c>
      <c r="AA4" s="102" t="s">
        <v>403</v>
      </c>
      <c r="AB4" s="231" t="s">
        <v>402</v>
      </c>
      <c r="AC4" s="102" t="s">
        <v>399</v>
      </c>
      <c r="AD4" s="102" t="s">
        <v>397</v>
      </c>
      <c r="AE4" s="102" t="s">
        <v>393</v>
      </c>
    </row>
    <row r="5" spans="1:31" x14ac:dyDescent="0.25">
      <c r="A5" s="46">
        <v>4</v>
      </c>
      <c r="B5" s="46" t="s">
        <v>314</v>
      </c>
      <c r="C5" s="52" t="s">
        <v>305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3">
        <v>7170</v>
      </c>
      <c r="W5" s="143">
        <v>7170</v>
      </c>
      <c r="X5" s="143">
        <v>7170</v>
      </c>
      <c r="Y5" s="143"/>
      <c r="Z5" s="143"/>
      <c r="AA5" s="143"/>
      <c r="AB5" s="144">
        <f>D5+G5+J5+M5+P5+V5</f>
        <v>7170</v>
      </c>
      <c r="AC5" s="144">
        <f t="shared" ref="AC5:AD8" si="0">E5+H5+K5+N5+Q5+T5+W5+Z5</f>
        <v>7170</v>
      </c>
      <c r="AD5" s="144">
        <f t="shared" si="0"/>
        <v>7170</v>
      </c>
      <c r="AE5" s="256">
        <f>AD5/AC5</f>
        <v>1</v>
      </c>
    </row>
    <row r="6" spans="1:31" x14ac:dyDescent="0.25">
      <c r="A6" s="46">
        <v>5</v>
      </c>
      <c r="B6" s="46" t="s">
        <v>207</v>
      </c>
      <c r="C6" s="52" t="s">
        <v>430</v>
      </c>
      <c r="D6" s="142"/>
      <c r="E6" s="142"/>
      <c r="F6" s="142"/>
      <c r="G6" s="142"/>
      <c r="H6" s="142"/>
      <c r="I6" s="142"/>
      <c r="J6" s="142"/>
      <c r="K6" s="142">
        <v>1165.1579999999999</v>
      </c>
      <c r="L6" s="142">
        <v>1165.1579999999999</v>
      </c>
      <c r="M6" s="142"/>
      <c r="N6" s="142"/>
      <c r="O6" s="142"/>
      <c r="P6" s="142"/>
      <c r="Q6" s="142"/>
      <c r="R6" s="142"/>
      <c r="S6" s="142"/>
      <c r="T6" s="142"/>
      <c r="U6" s="142"/>
      <c r="V6" s="143"/>
      <c r="W6" s="143">
        <v>82.287000000000006</v>
      </c>
      <c r="X6" s="143">
        <v>82.287000000000006</v>
      </c>
      <c r="Y6" s="143"/>
      <c r="Z6" s="143"/>
      <c r="AA6" s="143"/>
      <c r="AB6" s="144">
        <f>D6+G6+J6+M6+P6+V6</f>
        <v>0</v>
      </c>
      <c r="AC6" s="144">
        <f>E6+H6+K6+N6+Q6+T6+W6+Z6</f>
        <v>1247.4449999999999</v>
      </c>
      <c r="AD6" s="144">
        <f t="shared" si="0"/>
        <v>1247.4449999999999</v>
      </c>
      <c r="AE6" s="256">
        <f>AD6/AC6</f>
        <v>1</v>
      </c>
    </row>
    <row r="7" spans="1:31" x14ac:dyDescent="0.25">
      <c r="A7" s="227">
        <v>6</v>
      </c>
      <c r="B7" s="46" t="s">
        <v>207</v>
      </c>
      <c r="C7" s="52" t="s">
        <v>252</v>
      </c>
      <c r="D7" s="143">
        <v>338.1</v>
      </c>
      <c r="E7" s="143">
        <v>379.97500000000002</v>
      </c>
      <c r="F7" s="143">
        <v>379.97500000000002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>
        <v>73200.899999999994</v>
      </c>
      <c r="W7" s="143">
        <v>73830.334000000003</v>
      </c>
      <c r="X7" s="143">
        <v>73197.837</v>
      </c>
      <c r="Y7" s="143"/>
      <c r="Z7" s="143">
        <v>371.66399999999999</v>
      </c>
      <c r="AA7" s="143">
        <v>371.66399999999999</v>
      </c>
      <c r="AB7" s="144">
        <f>D7+G7+J7+M7+P7+V7</f>
        <v>73539</v>
      </c>
      <c r="AC7" s="144">
        <f>E7+H7+K7+N7+Q7+T7+W7+Z7</f>
        <v>74581.973000000013</v>
      </c>
      <c r="AD7" s="144">
        <f t="shared" si="0"/>
        <v>73949.47600000001</v>
      </c>
      <c r="AE7" s="256">
        <f t="shared" ref="AE7:AE10" si="1">AD7/AC7</f>
        <v>0.99151943861823011</v>
      </c>
    </row>
    <row r="8" spans="1:31" ht="15.75" x14ac:dyDescent="0.25">
      <c r="A8" s="46">
        <v>7</v>
      </c>
      <c r="B8" s="46"/>
      <c r="C8" s="50" t="s">
        <v>253</v>
      </c>
      <c r="D8" s="144">
        <f t="shared" ref="D8:AB8" si="2">SUM(D5:D7)</f>
        <v>338.1</v>
      </c>
      <c r="E8" s="144">
        <f>SUM(E5:E7)</f>
        <v>379.97500000000002</v>
      </c>
      <c r="F8" s="144">
        <f>SUM(F5:F7)</f>
        <v>379.97500000000002</v>
      </c>
      <c r="G8" s="144">
        <f t="shared" si="2"/>
        <v>0</v>
      </c>
      <c r="H8" s="144">
        <f t="shared" ref="H8:I8" si="3">SUM(H5:H7)</f>
        <v>0</v>
      </c>
      <c r="I8" s="144">
        <f t="shared" si="3"/>
        <v>0</v>
      </c>
      <c r="J8" s="144">
        <f t="shared" si="2"/>
        <v>0</v>
      </c>
      <c r="K8" s="144">
        <f t="shared" ref="K8:L8" si="4">SUM(K5:K7)</f>
        <v>1165.1579999999999</v>
      </c>
      <c r="L8" s="144">
        <f t="shared" si="4"/>
        <v>1165.1579999999999</v>
      </c>
      <c r="M8" s="144">
        <f t="shared" si="2"/>
        <v>0</v>
      </c>
      <c r="N8" s="144">
        <f t="shared" ref="N8:O8" si="5">SUM(N5:N7)</f>
        <v>0</v>
      </c>
      <c r="O8" s="144">
        <f t="shared" si="5"/>
        <v>0</v>
      </c>
      <c r="P8" s="144">
        <f t="shared" si="2"/>
        <v>0</v>
      </c>
      <c r="Q8" s="144">
        <f t="shared" ref="Q8:R8" si="6">SUM(Q5:Q7)</f>
        <v>0</v>
      </c>
      <c r="R8" s="144">
        <f t="shared" si="6"/>
        <v>0</v>
      </c>
      <c r="S8" s="144">
        <f t="shared" si="2"/>
        <v>0</v>
      </c>
      <c r="T8" s="144">
        <f t="shared" ref="T8:U8" si="7">SUM(T5:T7)</f>
        <v>0</v>
      </c>
      <c r="U8" s="144">
        <f t="shared" si="7"/>
        <v>0</v>
      </c>
      <c r="V8" s="144">
        <f t="shared" si="2"/>
        <v>80370.899999999994</v>
      </c>
      <c r="W8" s="144">
        <f t="shared" ref="W8:AA8" si="8">SUM(W5:W7)</f>
        <v>81082.620999999999</v>
      </c>
      <c r="X8" s="144">
        <f t="shared" si="8"/>
        <v>80450.123999999996</v>
      </c>
      <c r="Y8" s="144">
        <f t="shared" si="8"/>
        <v>0</v>
      </c>
      <c r="Z8" s="144">
        <f t="shared" si="8"/>
        <v>371.66399999999999</v>
      </c>
      <c r="AA8" s="144">
        <f t="shared" si="8"/>
        <v>371.66399999999999</v>
      </c>
      <c r="AB8" s="144">
        <f t="shared" si="2"/>
        <v>80709</v>
      </c>
      <c r="AC8" s="144">
        <f t="shared" si="0"/>
        <v>82999.418000000005</v>
      </c>
      <c r="AD8" s="144">
        <f t="shared" si="0"/>
        <v>82366.921000000002</v>
      </c>
      <c r="AE8" s="256">
        <f t="shared" si="1"/>
        <v>0.99237950078155968</v>
      </c>
    </row>
    <row r="9" spans="1:31" x14ac:dyDescent="0.25">
      <c r="A9" s="46">
        <v>8</v>
      </c>
      <c r="B9" s="45"/>
      <c r="C9" s="45" t="s">
        <v>254</v>
      </c>
      <c r="D9" s="145">
        <f t="shared" ref="D9:AC9" si="9">SUMIF($B5:$B7,"kötelező",D5:D7)</f>
        <v>338.1</v>
      </c>
      <c r="E9" s="145">
        <f t="shared" ref="E9:F9" si="10">SUMIF($B5:$B7,"kötelező",E5:E7)</f>
        <v>379.97500000000002</v>
      </c>
      <c r="F9" s="145">
        <f t="shared" si="10"/>
        <v>379.97500000000002</v>
      </c>
      <c r="G9" s="145">
        <f t="shared" si="9"/>
        <v>0</v>
      </c>
      <c r="H9" s="145">
        <f t="shared" ref="H9:I9" si="11">SUMIF($B5:$B7,"kötelező",H5:H7)</f>
        <v>0</v>
      </c>
      <c r="I9" s="145">
        <f t="shared" si="11"/>
        <v>0</v>
      </c>
      <c r="J9" s="145">
        <f t="shared" si="9"/>
        <v>0</v>
      </c>
      <c r="K9" s="145">
        <f t="shared" ref="K9:L9" si="12">SUMIF($B5:$B7,"kötelező",K5:K7)</f>
        <v>1165.1579999999999</v>
      </c>
      <c r="L9" s="145">
        <f t="shared" si="12"/>
        <v>1165.1579999999999</v>
      </c>
      <c r="M9" s="145">
        <f t="shared" si="9"/>
        <v>0</v>
      </c>
      <c r="N9" s="145">
        <f t="shared" ref="N9:O9" si="13">SUMIF($B5:$B7,"kötelező",N5:N7)</f>
        <v>0</v>
      </c>
      <c r="O9" s="145">
        <f t="shared" si="13"/>
        <v>0</v>
      </c>
      <c r="P9" s="145">
        <f t="shared" si="9"/>
        <v>0</v>
      </c>
      <c r="Q9" s="145">
        <f t="shared" ref="Q9:R9" si="14">SUMIF($B5:$B7,"kötelező",Q5:Q7)</f>
        <v>0</v>
      </c>
      <c r="R9" s="145">
        <f t="shared" si="14"/>
        <v>0</v>
      </c>
      <c r="S9" s="145">
        <f t="shared" si="9"/>
        <v>0</v>
      </c>
      <c r="T9" s="145">
        <f t="shared" ref="T9:U9" si="15">SUMIF($B5:$B7,"kötelező",T5:T7)</f>
        <v>0</v>
      </c>
      <c r="U9" s="145">
        <f t="shared" si="15"/>
        <v>0</v>
      </c>
      <c r="V9" s="145">
        <f t="shared" si="9"/>
        <v>73200.899999999994</v>
      </c>
      <c r="W9" s="145">
        <f t="shared" ref="W9:Z9" si="16">SUMIF($B5:$B7,"kötelező",W5:W7)</f>
        <v>73912.620999999999</v>
      </c>
      <c r="X9" s="145">
        <f t="shared" ref="X9" si="17">SUMIF($B5:$B7,"kötelező",X5:X7)</f>
        <v>73280.123999999996</v>
      </c>
      <c r="Y9" s="145">
        <f t="shared" si="16"/>
        <v>0</v>
      </c>
      <c r="Z9" s="145">
        <f t="shared" si="16"/>
        <v>371.66399999999999</v>
      </c>
      <c r="AA9" s="145">
        <f t="shared" ref="AA9" si="18">SUMIF($B5:$B7,"kötelező",AA5:AA7)</f>
        <v>371.66399999999999</v>
      </c>
      <c r="AB9" s="145">
        <f t="shared" si="9"/>
        <v>73539</v>
      </c>
      <c r="AC9" s="145">
        <f t="shared" si="9"/>
        <v>75829.41800000002</v>
      </c>
      <c r="AD9" s="145">
        <f t="shared" ref="AD9" si="19">SUMIF($B5:$B7,"kötelező",AD5:AD7)</f>
        <v>75196.921000000017</v>
      </c>
      <c r="AE9" s="312">
        <f t="shared" si="1"/>
        <v>0.99165894956493006</v>
      </c>
    </row>
    <row r="10" spans="1:31" x14ac:dyDescent="0.25">
      <c r="A10" s="227">
        <v>9</v>
      </c>
      <c r="B10" s="45"/>
      <c r="C10" s="45" t="s">
        <v>313</v>
      </c>
      <c r="D10" s="145">
        <f>SUMIF($B5:$B7,"államigazgatási",D5:D7)</f>
        <v>0</v>
      </c>
      <c r="E10" s="145">
        <f>SUMIF($B5:$B7,"államigazgatási",E5:E7)</f>
        <v>0</v>
      </c>
      <c r="F10" s="145">
        <f>SUMIF($B5:$B7,"államigazgatási",F5:F7)</f>
        <v>0</v>
      </c>
      <c r="G10" s="145">
        <f t="shared" ref="G10:AC10" si="20">SUMIF($B5:$B7,"államigazgatási",G5:G7)</f>
        <v>0</v>
      </c>
      <c r="H10" s="145">
        <f t="shared" ref="H10:I10" si="21">SUMIF($B5:$B7,"államigazgatási",H5:H7)</f>
        <v>0</v>
      </c>
      <c r="I10" s="145">
        <f t="shared" si="21"/>
        <v>0</v>
      </c>
      <c r="J10" s="145">
        <f t="shared" si="20"/>
        <v>0</v>
      </c>
      <c r="K10" s="145">
        <f t="shared" ref="K10:L10" si="22">SUMIF($B5:$B7,"államigazgatási",K5:K7)</f>
        <v>0</v>
      </c>
      <c r="L10" s="145">
        <f t="shared" si="22"/>
        <v>0</v>
      </c>
      <c r="M10" s="145">
        <f t="shared" si="20"/>
        <v>0</v>
      </c>
      <c r="N10" s="145">
        <f t="shared" ref="N10:O10" si="23">SUMIF($B5:$B7,"államigazgatási",N5:N7)</f>
        <v>0</v>
      </c>
      <c r="O10" s="145">
        <f t="shared" si="23"/>
        <v>0</v>
      </c>
      <c r="P10" s="145">
        <f t="shared" si="20"/>
        <v>0</v>
      </c>
      <c r="Q10" s="145">
        <f t="shared" ref="Q10:R10" si="24">SUMIF($B5:$B7,"államigazgatási",Q5:Q7)</f>
        <v>0</v>
      </c>
      <c r="R10" s="145">
        <f t="shared" si="24"/>
        <v>0</v>
      </c>
      <c r="S10" s="145">
        <f t="shared" si="20"/>
        <v>0</v>
      </c>
      <c r="T10" s="145">
        <f t="shared" ref="T10:U10" si="25">SUMIF($B5:$B7,"államigazgatási",T5:T7)</f>
        <v>0</v>
      </c>
      <c r="U10" s="145">
        <f t="shared" si="25"/>
        <v>0</v>
      </c>
      <c r="V10" s="145">
        <f t="shared" si="20"/>
        <v>7170</v>
      </c>
      <c r="W10" s="145">
        <f t="shared" ref="W10:Z10" si="26">SUMIF($B5:$B7,"államigazgatási",W5:W7)</f>
        <v>7170</v>
      </c>
      <c r="X10" s="145">
        <f t="shared" ref="X10" si="27">SUMIF($B5:$B7,"államigazgatási",X5:X7)</f>
        <v>7170</v>
      </c>
      <c r="Y10" s="145">
        <f t="shared" si="26"/>
        <v>0</v>
      </c>
      <c r="Z10" s="145">
        <f t="shared" si="26"/>
        <v>0</v>
      </c>
      <c r="AA10" s="145">
        <f t="shared" ref="AA10" si="28">SUMIF($B5:$B7,"államigazgatási",AA5:AA7)</f>
        <v>0</v>
      </c>
      <c r="AB10" s="145">
        <f t="shared" si="20"/>
        <v>7170</v>
      </c>
      <c r="AC10" s="145">
        <f t="shared" si="20"/>
        <v>7170</v>
      </c>
      <c r="AD10" s="145">
        <f t="shared" ref="AD10" si="29">SUMIF($B5:$B7,"államigazgatási",AD5:AD7)</f>
        <v>7170</v>
      </c>
      <c r="AE10" s="312">
        <f t="shared" si="1"/>
        <v>1</v>
      </c>
    </row>
  </sheetData>
  <mergeCells count="11">
    <mergeCell ref="P1:AB1"/>
    <mergeCell ref="D3:F3"/>
    <mergeCell ref="G3:I3"/>
    <mergeCell ref="J3:L3"/>
    <mergeCell ref="M3:O3"/>
    <mergeCell ref="C2:AE2"/>
    <mergeCell ref="AB3:AE3"/>
    <mergeCell ref="P3:R3"/>
    <mergeCell ref="S3:U3"/>
    <mergeCell ref="V3:X3"/>
    <mergeCell ref="Y3:AA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20"/>
  <sheetViews>
    <sheetView view="pageBreakPreview" zoomScaleNormal="100" zoomScaleSheetLayoutView="100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C2" sqref="C2:AF2"/>
    </sheetView>
  </sheetViews>
  <sheetFormatPr defaultRowHeight="15" x14ac:dyDescent="0.25"/>
  <cols>
    <col min="1" max="1" width="5.28515625" style="54" customWidth="1"/>
    <col min="2" max="2" width="13.28515625" style="54" customWidth="1"/>
    <col min="3" max="3" width="28" style="54" customWidth="1"/>
    <col min="4" max="5" width="11.28515625" style="54" bestFit="1" customWidth="1"/>
    <col min="6" max="6" width="11.28515625" style="54" customWidth="1"/>
    <col min="7" max="7" width="10.85546875" style="54" bestFit="1" customWidth="1"/>
    <col min="8" max="8" width="8.28515625" style="54" bestFit="1" customWidth="1"/>
    <col min="9" max="9" width="8.28515625" style="54" customWidth="1"/>
    <col min="10" max="10" width="10.85546875" style="54" bestFit="1" customWidth="1"/>
    <col min="11" max="11" width="8.28515625" style="54" bestFit="1" customWidth="1"/>
    <col min="12" max="12" width="8.28515625" style="54" customWidth="1"/>
    <col min="13" max="13" width="10.85546875" style="54" bestFit="1" customWidth="1"/>
    <col min="14" max="14" width="8.28515625" style="54" bestFit="1" customWidth="1"/>
    <col min="15" max="15" width="8.28515625" style="54" customWidth="1"/>
    <col min="16" max="16" width="10.85546875" style="54" bestFit="1" customWidth="1"/>
    <col min="17" max="17" width="8.28515625" style="54" bestFit="1" customWidth="1"/>
    <col min="18" max="18" width="8.28515625" style="54" customWidth="1"/>
    <col min="19" max="19" width="10.85546875" style="54" bestFit="1" customWidth="1"/>
    <col min="20" max="20" width="8.28515625" style="54" bestFit="1" customWidth="1"/>
    <col min="21" max="21" width="8.28515625" style="54" customWidth="1"/>
    <col min="22" max="23" width="12.42578125" style="54" bestFit="1" customWidth="1"/>
    <col min="24" max="24" width="12.42578125" style="54" customWidth="1"/>
    <col min="25" max="27" width="8.28515625" style="54" customWidth="1"/>
    <col min="28" max="28" width="16" style="54" customWidth="1"/>
    <col min="29" max="29" width="0" style="53" hidden="1" customWidth="1"/>
    <col min="30" max="31" width="12.42578125" style="54" bestFit="1" customWidth="1"/>
    <col min="32" max="32" width="13.28515625" style="54" bestFit="1" customWidth="1"/>
    <col min="33" max="16384" width="9.140625" style="54"/>
  </cols>
  <sheetData>
    <row r="1" spans="1:32" x14ac:dyDescent="0.25">
      <c r="S1" s="47"/>
      <c r="T1" s="47"/>
      <c r="U1" s="47"/>
      <c r="V1" s="47"/>
      <c r="W1" s="47"/>
      <c r="X1" s="47"/>
      <c r="Y1" s="47"/>
      <c r="Z1" s="47"/>
      <c r="AA1" s="47"/>
      <c r="AB1" s="95" t="s">
        <v>1022</v>
      </c>
    </row>
    <row r="2" spans="1:32" ht="62.25" customHeight="1" x14ac:dyDescent="0.25">
      <c r="A2" s="46">
        <v>1</v>
      </c>
      <c r="B2" s="46"/>
      <c r="C2" s="846" t="s">
        <v>548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847"/>
      <c r="AB2" s="847"/>
      <c r="AC2" s="847"/>
      <c r="AD2" s="847"/>
      <c r="AE2" s="847"/>
      <c r="AF2" s="847"/>
    </row>
    <row r="3" spans="1:32" ht="57" customHeight="1" x14ac:dyDescent="0.25">
      <c r="A3" s="46">
        <v>2</v>
      </c>
      <c r="B3" s="48" t="s">
        <v>255</v>
      </c>
      <c r="C3" s="50" t="s">
        <v>199</v>
      </c>
      <c r="D3" s="840" t="s">
        <v>159</v>
      </c>
      <c r="E3" s="841"/>
      <c r="F3" s="842"/>
      <c r="G3" s="840" t="s">
        <v>158</v>
      </c>
      <c r="H3" s="841"/>
      <c r="I3" s="842"/>
      <c r="J3" s="840" t="s">
        <v>201</v>
      </c>
      <c r="K3" s="841"/>
      <c r="L3" s="842"/>
      <c r="M3" s="840" t="s">
        <v>202</v>
      </c>
      <c r="N3" s="841"/>
      <c r="O3" s="842"/>
      <c r="P3" s="840" t="s">
        <v>203</v>
      </c>
      <c r="Q3" s="841"/>
      <c r="R3" s="842"/>
      <c r="S3" s="840" t="s">
        <v>248</v>
      </c>
      <c r="T3" s="841"/>
      <c r="U3" s="842"/>
      <c r="V3" s="840" t="s">
        <v>249</v>
      </c>
      <c r="W3" s="841"/>
      <c r="X3" s="842"/>
      <c r="Y3" s="840" t="s">
        <v>330</v>
      </c>
      <c r="Z3" s="841"/>
      <c r="AA3" s="842"/>
      <c r="AB3" s="840" t="s">
        <v>205</v>
      </c>
      <c r="AC3" s="841"/>
      <c r="AD3" s="841"/>
      <c r="AE3" s="841"/>
      <c r="AF3" s="842"/>
    </row>
    <row r="4" spans="1:32" ht="57" x14ac:dyDescent="0.25">
      <c r="A4" s="46">
        <v>3</v>
      </c>
      <c r="B4" s="55"/>
      <c r="C4" s="50" t="s">
        <v>250</v>
      </c>
      <c r="D4" s="64" t="s">
        <v>402</v>
      </c>
      <c r="E4" s="100" t="s">
        <v>399</v>
      </c>
      <c r="F4" s="100" t="s">
        <v>407</v>
      </c>
      <c r="G4" s="64" t="s">
        <v>402</v>
      </c>
      <c r="H4" s="100" t="s">
        <v>399</v>
      </c>
      <c r="I4" s="100" t="s">
        <v>407</v>
      </c>
      <c r="J4" s="64" t="s">
        <v>402</v>
      </c>
      <c r="K4" s="100" t="s">
        <v>399</v>
      </c>
      <c r="L4" s="100" t="s">
        <v>407</v>
      </c>
      <c r="M4" s="64" t="s">
        <v>402</v>
      </c>
      <c r="N4" s="100" t="s">
        <v>399</v>
      </c>
      <c r="O4" s="100" t="s">
        <v>407</v>
      </c>
      <c r="P4" s="64" t="s">
        <v>402</v>
      </c>
      <c r="Q4" s="100" t="s">
        <v>399</v>
      </c>
      <c r="R4" s="100" t="s">
        <v>407</v>
      </c>
      <c r="S4" s="64" t="s">
        <v>402</v>
      </c>
      <c r="T4" s="100" t="s">
        <v>399</v>
      </c>
      <c r="U4" s="100" t="s">
        <v>407</v>
      </c>
      <c r="V4" s="64" t="s">
        <v>402</v>
      </c>
      <c r="W4" s="100" t="s">
        <v>399</v>
      </c>
      <c r="X4" s="100" t="s">
        <v>407</v>
      </c>
      <c r="Y4" s="64" t="s">
        <v>402</v>
      </c>
      <c r="Z4" s="100" t="s">
        <v>399</v>
      </c>
      <c r="AA4" s="100" t="s">
        <v>407</v>
      </c>
      <c r="AB4" s="64" t="s">
        <v>402</v>
      </c>
      <c r="AC4" s="100" t="s">
        <v>399</v>
      </c>
      <c r="AD4" s="100" t="s">
        <v>399</v>
      </c>
      <c r="AE4" s="100" t="s">
        <v>407</v>
      </c>
      <c r="AF4" s="100" t="s">
        <v>408</v>
      </c>
    </row>
    <row r="5" spans="1:32" s="58" customFormat="1" x14ac:dyDescent="0.25">
      <c r="A5" s="56">
        <v>4</v>
      </c>
      <c r="B5" s="56" t="s">
        <v>207</v>
      </c>
      <c r="C5" s="57" t="s">
        <v>256</v>
      </c>
      <c r="D5" s="137"/>
      <c r="E5" s="137"/>
      <c r="F5" s="137"/>
      <c r="G5" s="137"/>
      <c r="H5" s="137"/>
      <c r="I5" s="137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9">
        <v>852</v>
      </c>
      <c r="W5" s="139">
        <v>681.58199999999999</v>
      </c>
      <c r="X5" s="139">
        <v>681.58199999999999</v>
      </c>
      <c r="Y5" s="139"/>
      <c r="Z5" s="139"/>
      <c r="AA5" s="139"/>
      <c r="AB5" s="140">
        <f t="shared" ref="AB5:AB16" si="0">D5+G5+J5+M5+P5+S5+V5</f>
        <v>852</v>
      </c>
      <c r="AC5" s="140">
        <f t="shared" ref="AC5" si="1">E5+H5+K5+N5+Q5+T5+W5</f>
        <v>681.58199999999999</v>
      </c>
      <c r="AD5" s="140">
        <f>E5+H5+K5+N5+Q5+T5+W5+Z5</f>
        <v>681.58199999999999</v>
      </c>
      <c r="AE5" s="140">
        <f>F5+I5+L5+O5+R5+U5+X5+AA5</f>
        <v>681.58199999999999</v>
      </c>
      <c r="AF5" s="269">
        <f t="shared" ref="AF5:AF19" si="2">AE5/AD5</f>
        <v>1</v>
      </c>
    </row>
    <row r="6" spans="1:32" s="58" customFormat="1" x14ac:dyDescent="0.25">
      <c r="A6" s="56">
        <v>6</v>
      </c>
      <c r="B6" s="56" t="s">
        <v>207</v>
      </c>
      <c r="C6" s="57" t="s">
        <v>257</v>
      </c>
      <c r="D6" s="137"/>
      <c r="E6" s="137"/>
      <c r="F6" s="137"/>
      <c r="G6" s="137"/>
      <c r="H6" s="137"/>
      <c r="I6" s="137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>
        <v>321</v>
      </c>
      <c r="W6" s="139">
        <v>267.53100000000001</v>
      </c>
      <c r="X6" s="139">
        <v>267.53100000000001</v>
      </c>
      <c r="Y6" s="139"/>
      <c r="Z6" s="139"/>
      <c r="AA6" s="139"/>
      <c r="AB6" s="140">
        <f t="shared" si="0"/>
        <v>321</v>
      </c>
      <c r="AC6" s="183"/>
      <c r="AD6" s="140">
        <f t="shared" ref="AD6:AE16" si="3">E6+H6+K6+N6+Q6+T6+W6+Z6</f>
        <v>267.53100000000001</v>
      </c>
      <c r="AE6" s="140">
        <f t="shared" si="3"/>
        <v>267.53100000000001</v>
      </c>
      <c r="AF6" s="269">
        <f t="shared" si="2"/>
        <v>1</v>
      </c>
    </row>
    <row r="7" spans="1:32" s="58" customFormat="1" x14ac:dyDescent="0.25">
      <c r="A7" s="56">
        <v>7</v>
      </c>
      <c r="B7" s="56" t="s">
        <v>213</v>
      </c>
      <c r="C7" s="57" t="s">
        <v>258</v>
      </c>
      <c r="D7" s="137"/>
      <c r="E7" s="137"/>
      <c r="F7" s="137"/>
      <c r="G7" s="137"/>
      <c r="H7" s="137"/>
      <c r="I7" s="137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9">
        <v>689</v>
      </c>
      <c r="W7" s="139">
        <v>688.88800000000003</v>
      </c>
      <c r="X7" s="139">
        <v>688.88800000000003</v>
      </c>
      <c r="Y7" s="139"/>
      <c r="Z7" s="139"/>
      <c r="AA7" s="139"/>
      <c r="AB7" s="140">
        <f t="shared" si="0"/>
        <v>689</v>
      </c>
      <c r="AC7" s="183">
        <v>13</v>
      </c>
      <c r="AD7" s="140">
        <f t="shared" si="3"/>
        <v>688.88800000000003</v>
      </c>
      <c r="AE7" s="140">
        <f t="shared" si="3"/>
        <v>688.88800000000003</v>
      </c>
      <c r="AF7" s="269">
        <f t="shared" si="2"/>
        <v>1</v>
      </c>
    </row>
    <row r="8" spans="1:32" s="58" customFormat="1" x14ac:dyDescent="0.25">
      <c r="A8" s="56">
        <v>8</v>
      </c>
      <c r="B8" s="56" t="s">
        <v>207</v>
      </c>
      <c r="C8" s="57" t="s">
        <v>259</v>
      </c>
      <c r="D8" s="137"/>
      <c r="E8" s="137"/>
      <c r="F8" s="137"/>
      <c r="G8" s="137"/>
      <c r="H8" s="137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>
        <v>9538</v>
      </c>
      <c r="W8" s="139">
        <v>9740.9789999999994</v>
      </c>
      <c r="X8" s="139">
        <v>9740.9789999999994</v>
      </c>
      <c r="Y8" s="139"/>
      <c r="Z8" s="139"/>
      <c r="AA8" s="139"/>
      <c r="AB8" s="140">
        <f t="shared" si="0"/>
        <v>9538</v>
      </c>
      <c r="AC8" s="183"/>
      <c r="AD8" s="140">
        <f t="shared" si="3"/>
        <v>9740.9789999999994</v>
      </c>
      <c r="AE8" s="140">
        <f t="shared" si="3"/>
        <v>9740.9789999999994</v>
      </c>
      <c r="AF8" s="269">
        <f t="shared" si="2"/>
        <v>1</v>
      </c>
    </row>
    <row r="9" spans="1:32" s="58" customFormat="1" x14ac:dyDescent="0.25">
      <c r="A9" s="56">
        <v>9</v>
      </c>
      <c r="B9" s="56" t="s">
        <v>207</v>
      </c>
      <c r="C9" s="57" t="s">
        <v>260</v>
      </c>
      <c r="D9" s="137"/>
      <c r="E9" s="137"/>
      <c r="F9" s="137"/>
      <c r="G9" s="137"/>
      <c r="H9" s="137"/>
      <c r="I9" s="137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9">
        <v>600</v>
      </c>
      <c r="W9" s="139">
        <v>600</v>
      </c>
      <c r="X9" s="139">
        <v>600</v>
      </c>
      <c r="Y9" s="139"/>
      <c r="Z9" s="139"/>
      <c r="AA9" s="139"/>
      <c r="AB9" s="140">
        <f t="shared" si="0"/>
        <v>600</v>
      </c>
      <c r="AC9" s="183"/>
      <c r="AD9" s="140">
        <f t="shared" si="3"/>
        <v>600</v>
      </c>
      <c r="AE9" s="140">
        <f t="shared" si="3"/>
        <v>600</v>
      </c>
      <c r="AF9" s="269">
        <f t="shared" si="2"/>
        <v>1</v>
      </c>
    </row>
    <row r="10" spans="1:32" s="58" customFormat="1" x14ac:dyDescent="0.25">
      <c r="A10" s="56">
        <v>10</v>
      </c>
      <c r="B10" s="56" t="s">
        <v>213</v>
      </c>
      <c r="C10" s="57" t="s">
        <v>261</v>
      </c>
      <c r="D10" s="134">
        <v>25151</v>
      </c>
      <c r="E10" s="134">
        <v>26367.477999999999</v>
      </c>
      <c r="F10" s="519">
        <v>26367.477999999999</v>
      </c>
      <c r="G10" s="134"/>
      <c r="H10" s="134"/>
      <c r="I10" s="134"/>
      <c r="J10" s="138">
        <v>966</v>
      </c>
      <c r="K10" s="138">
        <v>946.28499999999997</v>
      </c>
      <c r="L10" s="518">
        <v>946.28499999999997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9">
        <v>60487</v>
      </c>
      <c r="W10" s="139">
        <v>61338.648999999998</v>
      </c>
      <c r="X10" s="139">
        <v>61021.976999999999</v>
      </c>
      <c r="Y10" s="139"/>
      <c r="Z10" s="139">
        <v>483.49900000000002</v>
      </c>
      <c r="AA10" s="139">
        <v>483.49900000000002</v>
      </c>
      <c r="AB10" s="140">
        <f>D10+G10+J10+M10+P10+S10+V10</f>
        <v>86604</v>
      </c>
      <c r="AC10" s="140">
        <f t="shared" ref="AC10" si="4">E10+H10+K10+N10+Q10+T10+W10</f>
        <v>88652.411999999997</v>
      </c>
      <c r="AD10" s="140">
        <f t="shared" si="3"/>
        <v>89135.910999999993</v>
      </c>
      <c r="AE10" s="140">
        <f>F10+I10+L10+O10+R10+U10+X10+AA10</f>
        <v>88819.238999999987</v>
      </c>
      <c r="AF10" s="269">
        <f t="shared" si="2"/>
        <v>0.99644731291297395</v>
      </c>
    </row>
    <row r="11" spans="1:32" s="58" customFormat="1" x14ac:dyDescent="0.25">
      <c r="A11" s="56">
        <v>11</v>
      </c>
      <c r="B11" s="56" t="s">
        <v>207</v>
      </c>
      <c r="C11" s="57" t="s">
        <v>262</v>
      </c>
      <c r="D11" s="137"/>
      <c r="E11" s="137">
        <v>38.024999999999999</v>
      </c>
      <c r="F11" s="137">
        <v>38.024999999999999</v>
      </c>
      <c r="G11" s="137"/>
      <c r="H11" s="137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>
        <v>10637</v>
      </c>
      <c r="W11" s="139">
        <v>12873.259</v>
      </c>
      <c r="X11" s="139">
        <v>12873.264999999999</v>
      </c>
      <c r="Y11" s="139"/>
      <c r="Z11" s="139"/>
      <c r="AA11" s="139"/>
      <c r="AB11" s="140">
        <f t="shared" si="0"/>
        <v>10637</v>
      </c>
      <c r="AC11" s="183">
        <v>4</v>
      </c>
      <c r="AD11" s="140">
        <f t="shared" si="3"/>
        <v>12911.284</v>
      </c>
      <c r="AE11" s="140">
        <f t="shared" si="3"/>
        <v>12911.289999999999</v>
      </c>
      <c r="AF11" s="269">
        <f t="shared" si="2"/>
        <v>1.000000464709784</v>
      </c>
    </row>
    <row r="12" spans="1:32" s="58" customFormat="1" x14ac:dyDescent="0.25">
      <c r="A12" s="56">
        <v>12</v>
      </c>
      <c r="B12" s="56" t="s">
        <v>207</v>
      </c>
      <c r="C12" s="57" t="s">
        <v>350</v>
      </c>
      <c r="D12" s="137"/>
      <c r="E12" s="137"/>
      <c r="F12" s="137"/>
      <c r="G12" s="137"/>
      <c r="H12" s="137"/>
      <c r="I12" s="137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9">
        <v>8912</v>
      </c>
      <c r="W12" s="139">
        <v>13117.915000000001</v>
      </c>
      <c r="X12" s="139">
        <v>13117.915000000001</v>
      </c>
      <c r="Y12" s="139"/>
      <c r="Z12" s="139"/>
      <c r="AA12" s="139"/>
      <c r="AB12" s="140">
        <f t="shared" si="0"/>
        <v>8912</v>
      </c>
      <c r="AC12" s="183"/>
      <c r="AD12" s="140">
        <f t="shared" si="3"/>
        <v>13117.915000000001</v>
      </c>
      <c r="AE12" s="140">
        <f t="shared" si="3"/>
        <v>13117.915000000001</v>
      </c>
      <c r="AF12" s="269">
        <f t="shared" si="2"/>
        <v>1</v>
      </c>
    </row>
    <row r="13" spans="1:32" s="58" customFormat="1" x14ac:dyDescent="0.25">
      <c r="A13" s="56">
        <v>13</v>
      </c>
      <c r="B13" s="56" t="s">
        <v>207</v>
      </c>
      <c r="C13" s="57" t="s">
        <v>263</v>
      </c>
      <c r="D13" s="134">
        <v>4857</v>
      </c>
      <c r="E13" s="134">
        <v>4529.58</v>
      </c>
      <c r="F13" s="134">
        <v>4529.58</v>
      </c>
      <c r="G13" s="137"/>
      <c r="H13" s="137"/>
      <c r="I13" s="137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9">
        <v>6614</v>
      </c>
      <c r="W13" s="139">
        <v>5507.0460000000003</v>
      </c>
      <c r="X13" s="139">
        <v>5507.0460000000003</v>
      </c>
      <c r="Y13" s="139"/>
      <c r="Z13" s="139"/>
      <c r="AA13" s="139"/>
      <c r="AB13" s="140">
        <f t="shared" si="0"/>
        <v>11471</v>
      </c>
      <c r="AC13" s="183">
        <v>10237</v>
      </c>
      <c r="AD13" s="140">
        <f t="shared" si="3"/>
        <v>10036.626</v>
      </c>
      <c r="AE13" s="140">
        <f t="shared" si="3"/>
        <v>10036.626</v>
      </c>
      <c r="AF13" s="269">
        <f t="shared" si="2"/>
        <v>1</v>
      </c>
    </row>
    <row r="14" spans="1:32" x14ac:dyDescent="0.25">
      <c r="A14" s="46">
        <v>14</v>
      </c>
      <c r="B14" s="46" t="s">
        <v>207</v>
      </c>
      <c r="C14" s="52" t="s">
        <v>264</v>
      </c>
      <c r="D14" s="141"/>
      <c r="E14" s="141"/>
      <c r="F14" s="141"/>
      <c r="G14" s="141"/>
      <c r="H14" s="141"/>
      <c r="I14" s="141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3">
        <v>9539</v>
      </c>
      <c r="W14" s="143">
        <v>9891.3330000000005</v>
      </c>
      <c r="X14" s="143">
        <v>9891.3330000000005</v>
      </c>
      <c r="Y14" s="143"/>
      <c r="Z14" s="143"/>
      <c r="AA14" s="143"/>
      <c r="AB14" s="144">
        <f t="shared" si="0"/>
        <v>9539</v>
      </c>
      <c r="AC14" s="184"/>
      <c r="AD14" s="140">
        <f t="shared" si="3"/>
        <v>9891.3330000000005</v>
      </c>
      <c r="AE14" s="140">
        <f t="shared" si="3"/>
        <v>9891.3330000000005</v>
      </c>
      <c r="AF14" s="269">
        <f t="shared" si="2"/>
        <v>1</v>
      </c>
    </row>
    <row r="15" spans="1:32" x14ac:dyDescent="0.25">
      <c r="A15" s="46">
        <v>15</v>
      </c>
      <c r="B15" s="46" t="s">
        <v>213</v>
      </c>
      <c r="C15" s="52" t="s">
        <v>230</v>
      </c>
      <c r="D15" s="141"/>
      <c r="E15" s="141"/>
      <c r="F15" s="141"/>
      <c r="G15" s="141"/>
      <c r="H15" s="141"/>
      <c r="I15" s="141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3">
        <v>2562</v>
      </c>
      <c r="W15" s="143">
        <v>2145.8420000000001</v>
      </c>
      <c r="X15" s="143">
        <v>2145.8420000000001</v>
      </c>
      <c r="Y15" s="143"/>
      <c r="Z15" s="143"/>
      <c r="AA15" s="143"/>
      <c r="AB15" s="144">
        <f t="shared" si="0"/>
        <v>2562</v>
      </c>
      <c r="AC15" s="184">
        <v>5328</v>
      </c>
      <c r="AD15" s="140">
        <f t="shared" si="3"/>
        <v>2145.8420000000001</v>
      </c>
      <c r="AE15" s="140">
        <f t="shared" si="3"/>
        <v>2145.8420000000001</v>
      </c>
      <c r="AF15" s="269">
        <f t="shared" si="2"/>
        <v>1</v>
      </c>
    </row>
    <row r="16" spans="1:32" x14ac:dyDescent="0.25">
      <c r="A16" s="46">
        <v>17</v>
      </c>
      <c r="B16" s="46" t="s">
        <v>213</v>
      </c>
      <c r="C16" s="52" t="s">
        <v>265</v>
      </c>
      <c r="D16" s="141">
        <v>1430</v>
      </c>
      <c r="E16" s="141">
        <v>1031.1679999999999</v>
      </c>
      <c r="F16" s="141">
        <v>1031.1679999999999</v>
      </c>
      <c r="G16" s="141"/>
      <c r="H16" s="141"/>
      <c r="I16" s="141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3"/>
      <c r="W16" s="143">
        <v>-517.41099999999994</v>
      </c>
      <c r="X16" s="143">
        <f>-517.411+316.672-0.006</f>
        <v>-200.74499999999992</v>
      </c>
      <c r="Y16" s="143"/>
      <c r="Z16" s="143"/>
      <c r="AA16" s="143"/>
      <c r="AB16" s="144">
        <f t="shared" si="0"/>
        <v>1430</v>
      </c>
      <c r="AC16" s="184">
        <v>1384</v>
      </c>
      <c r="AD16" s="140">
        <f t="shared" si="3"/>
        <v>513.75699999999995</v>
      </c>
      <c r="AE16" s="140">
        <f t="shared" si="3"/>
        <v>830.423</v>
      </c>
      <c r="AF16" s="269">
        <f t="shared" si="2"/>
        <v>1.6163731102447267</v>
      </c>
    </row>
    <row r="17" spans="1:32" ht="15.75" x14ac:dyDescent="0.25">
      <c r="A17" s="46">
        <v>18</v>
      </c>
      <c r="B17" s="46"/>
      <c r="C17" s="50" t="s">
        <v>253</v>
      </c>
      <c r="D17" s="144">
        <f t="shared" ref="D17:AD17" si="5">SUM(D5:D16)</f>
        <v>31438</v>
      </c>
      <c r="E17" s="144">
        <f t="shared" ref="E17:F17" si="6">SUM(E5:E16)</f>
        <v>31966.251</v>
      </c>
      <c r="F17" s="485">
        <f t="shared" si="6"/>
        <v>31966.251</v>
      </c>
      <c r="G17" s="144">
        <f t="shared" si="5"/>
        <v>0</v>
      </c>
      <c r="H17" s="144">
        <f t="shared" ref="H17:I17" si="7">SUM(H5:H16)</f>
        <v>0</v>
      </c>
      <c r="I17" s="144">
        <f t="shared" si="7"/>
        <v>0</v>
      </c>
      <c r="J17" s="144">
        <f t="shared" si="5"/>
        <v>966</v>
      </c>
      <c r="K17" s="144">
        <f t="shared" ref="K17" si="8">SUM(K5:K16)</f>
        <v>946.28499999999997</v>
      </c>
      <c r="L17" s="485">
        <f>SUM(L5:L16)</f>
        <v>946.28499999999997</v>
      </c>
      <c r="M17" s="144">
        <f t="shared" si="5"/>
        <v>0</v>
      </c>
      <c r="N17" s="144">
        <f t="shared" ref="N17:O17" si="9">SUM(N5:N16)</f>
        <v>0</v>
      </c>
      <c r="O17" s="144">
        <f t="shared" si="9"/>
        <v>0</v>
      </c>
      <c r="P17" s="144">
        <f t="shared" si="5"/>
        <v>0</v>
      </c>
      <c r="Q17" s="144">
        <f t="shared" ref="Q17:R17" si="10">SUM(Q5:Q16)</f>
        <v>0</v>
      </c>
      <c r="R17" s="144">
        <f t="shared" si="10"/>
        <v>0</v>
      </c>
      <c r="S17" s="144">
        <f t="shared" si="5"/>
        <v>0</v>
      </c>
      <c r="T17" s="144">
        <f t="shared" ref="T17:U17" si="11">SUM(T5:T16)</f>
        <v>0</v>
      </c>
      <c r="U17" s="144">
        <f t="shared" si="11"/>
        <v>0</v>
      </c>
      <c r="V17" s="144">
        <f t="shared" si="5"/>
        <v>110751</v>
      </c>
      <c r="W17" s="144">
        <f>SUM(W5:W16)</f>
        <v>116335.61300000003</v>
      </c>
      <c r="X17" s="144">
        <f>SUM(X5:X16)</f>
        <v>116335.613</v>
      </c>
      <c r="Y17" s="144">
        <f t="shared" ref="Y17:Z17" si="12">SUM(Y5:Y16)</f>
        <v>0</v>
      </c>
      <c r="Z17" s="144">
        <f t="shared" si="12"/>
        <v>483.49900000000002</v>
      </c>
      <c r="AA17" s="485">
        <f t="shared" ref="AA17" si="13">SUM(AA5:AA16)</f>
        <v>483.49900000000002</v>
      </c>
      <c r="AB17" s="144">
        <f t="shared" si="5"/>
        <v>143155</v>
      </c>
      <c r="AC17" s="144">
        <f t="shared" si="5"/>
        <v>106299.99399999999</v>
      </c>
      <c r="AD17" s="144">
        <f t="shared" si="5"/>
        <v>149731.64800000002</v>
      </c>
      <c r="AE17" s="144">
        <f t="shared" ref="AE17" si="14">SUM(AE5:AE16)</f>
        <v>149731.64799999999</v>
      </c>
      <c r="AF17" s="269">
        <f t="shared" si="2"/>
        <v>0.99999999999999978</v>
      </c>
    </row>
    <row r="18" spans="1:32" x14ac:dyDescent="0.25">
      <c r="A18" s="46">
        <v>19</v>
      </c>
      <c r="B18" s="59"/>
      <c r="C18" s="60" t="s">
        <v>238</v>
      </c>
      <c r="D18" s="145">
        <f t="shared" ref="D18:AD18" si="15">SUMIF($B5:$B16,"kötelező",D5:D16)</f>
        <v>4857</v>
      </c>
      <c r="E18" s="145">
        <f t="shared" ref="E18:F18" si="16">SUMIF($B5:$B16,"kötelező",E5:E16)</f>
        <v>4567.6049999999996</v>
      </c>
      <c r="F18" s="145">
        <f t="shared" si="16"/>
        <v>4567.6049999999996</v>
      </c>
      <c r="G18" s="145">
        <f t="shared" si="15"/>
        <v>0</v>
      </c>
      <c r="H18" s="145">
        <f t="shared" ref="H18:I18" si="17">SUMIF($B5:$B16,"kötelező",H5:H16)</f>
        <v>0</v>
      </c>
      <c r="I18" s="145">
        <f t="shared" si="17"/>
        <v>0</v>
      </c>
      <c r="J18" s="145">
        <f t="shared" si="15"/>
        <v>0</v>
      </c>
      <c r="K18" s="145">
        <f t="shared" ref="K18:L18" si="18">SUMIF($B5:$B16,"kötelező",K5:K16)</f>
        <v>0</v>
      </c>
      <c r="L18" s="145">
        <f t="shared" si="18"/>
        <v>0</v>
      </c>
      <c r="M18" s="145">
        <f t="shared" si="15"/>
        <v>0</v>
      </c>
      <c r="N18" s="145">
        <f t="shared" ref="N18:O18" si="19">SUMIF($B5:$B16,"kötelező",N5:N16)</f>
        <v>0</v>
      </c>
      <c r="O18" s="145">
        <f t="shared" si="19"/>
        <v>0</v>
      </c>
      <c r="P18" s="145">
        <f t="shared" si="15"/>
        <v>0</v>
      </c>
      <c r="Q18" s="145">
        <f t="shared" ref="Q18:R18" si="20">SUMIF($B5:$B16,"kötelező",Q5:Q16)</f>
        <v>0</v>
      </c>
      <c r="R18" s="145">
        <f t="shared" si="20"/>
        <v>0</v>
      </c>
      <c r="S18" s="145">
        <f t="shared" si="15"/>
        <v>0</v>
      </c>
      <c r="T18" s="145">
        <f t="shared" ref="T18:U18" si="21">SUMIF($B5:$B16,"kötelező",T5:T16)</f>
        <v>0</v>
      </c>
      <c r="U18" s="145">
        <f t="shared" si="21"/>
        <v>0</v>
      </c>
      <c r="V18" s="145">
        <f t="shared" si="15"/>
        <v>47013</v>
      </c>
      <c r="W18" s="145">
        <f t="shared" ref="W18:Z18" si="22">SUMIF($B5:$B16,"kötelező",W5:W16)</f>
        <v>52679.645000000004</v>
      </c>
      <c r="X18" s="145">
        <f t="shared" ref="X18" si="23">SUMIF($B5:$B16,"kötelező",X5:X16)</f>
        <v>52679.650999999998</v>
      </c>
      <c r="Y18" s="145">
        <f t="shared" si="22"/>
        <v>0</v>
      </c>
      <c r="Z18" s="145">
        <f t="shared" si="22"/>
        <v>0</v>
      </c>
      <c r="AA18" s="145">
        <f t="shared" ref="AA18" si="24">SUMIF($B5:$B16,"kötelező",AA5:AA16)</f>
        <v>0</v>
      </c>
      <c r="AB18" s="145">
        <f t="shared" si="15"/>
        <v>51870</v>
      </c>
      <c r="AC18" s="145">
        <f t="shared" si="15"/>
        <v>10922.582</v>
      </c>
      <c r="AD18" s="145">
        <f t="shared" si="15"/>
        <v>57247.25</v>
      </c>
      <c r="AE18" s="145">
        <f t="shared" ref="AE18" si="25">SUMIF($B5:$B16,"kötelező",AE5:AE16)</f>
        <v>57247.255999999994</v>
      </c>
      <c r="AF18" s="264">
        <f t="shared" si="2"/>
        <v>1.0000001048085279</v>
      </c>
    </row>
    <row r="19" spans="1:32" x14ac:dyDescent="0.25">
      <c r="A19" s="46">
        <v>20</v>
      </c>
      <c r="B19" s="59"/>
      <c r="C19" s="60" t="s">
        <v>239</v>
      </c>
      <c r="D19" s="145">
        <f t="shared" ref="D19:AD19" si="26">SUMIF($B5:$B16,"nem kötelező",D5:D16)</f>
        <v>26581</v>
      </c>
      <c r="E19" s="145">
        <f t="shared" ref="E19:F19" si="27">SUMIF($B5:$B16,"nem kötelező",E5:E16)</f>
        <v>27398.646000000001</v>
      </c>
      <c r="F19" s="145">
        <f t="shared" si="27"/>
        <v>27398.646000000001</v>
      </c>
      <c r="G19" s="145">
        <f t="shared" si="26"/>
        <v>0</v>
      </c>
      <c r="H19" s="145">
        <f t="shared" ref="H19:I19" si="28">SUMIF($B5:$B16,"nem kötelező",H5:H16)</f>
        <v>0</v>
      </c>
      <c r="I19" s="145">
        <f t="shared" si="28"/>
        <v>0</v>
      </c>
      <c r="J19" s="145">
        <f t="shared" si="26"/>
        <v>966</v>
      </c>
      <c r="K19" s="145">
        <f t="shared" ref="K19:L19" si="29">SUMIF($B5:$B16,"nem kötelező",K5:K16)</f>
        <v>946.28499999999997</v>
      </c>
      <c r="L19" s="145">
        <f t="shared" si="29"/>
        <v>946.28499999999997</v>
      </c>
      <c r="M19" s="145">
        <f t="shared" si="26"/>
        <v>0</v>
      </c>
      <c r="N19" s="145">
        <f t="shared" ref="N19:O19" si="30">SUMIF($B5:$B16,"nem kötelező",N5:N16)</f>
        <v>0</v>
      </c>
      <c r="O19" s="145">
        <f t="shared" si="30"/>
        <v>0</v>
      </c>
      <c r="P19" s="145">
        <f t="shared" si="26"/>
        <v>0</v>
      </c>
      <c r="Q19" s="145">
        <f t="shared" ref="Q19:R19" si="31">SUMIF($B5:$B16,"nem kötelező",Q5:Q16)</f>
        <v>0</v>
      </c>
      <c r="R19" s="145">
        <f t="shared" si="31"/>
        <v>0</v>
      </c>
      <c r="S19" s="145">
        <f t="shared" si="26"/>
        <v>0</v>
      </c>
      <c r="T19" s="145">
        <f t="shared" ref="T19:U19" si="32">SUMIF($B5:$B16,"nem kötelező",T5:T16)</f>
        <v>0</v>
      </c>
      <c r="U19" s="145">
        <f t="shared" si="32"/>
        <v>0</v>
      </c>
      <c r="V19" s="145">
        <f t="shared" si="26"/>
        <v>63738</v>
      </c>
      <c r="W19" s="145">
        <f t="shared" ref="W19:Z19" si="33">SUMIF($B5:$B16,"nem kötelező",W5:W16)</f>
        <v>63655.967999999993</v>
      </c>
      <c r="X19" s="145">
        <f t="shared" ref="X19" si="34">SUMIF($B5:$B16,"nem kötelező",X5:X16)</f>
        <v>63655.961999999992</v>
      </c>
      <c r="Y19" s="145">
        <f t="shared" si="33"/>
        <v>0</v>
      </c>
      <c r="Z19" s="145">
        <f t="shared" si="33"/>
        <v>483.49900000000002</v>
      </c>
      <c r="AA19" s="145">
        <f t="shared" ref="AA19" si="35">SUMIF($B5:$B16,"nem kötelező",AA5:AA16)</f>
        <v>483.49900000000002</v>
      </c>
      <c r="AB19" s="145">
        <f t="shared" si="26"/>
        <v>91285</v>
      </c>
      <c r="AC19" s="145">
        <f t="shared" si="26"/>
        <v>95377.411999999997</v>
      </c>
      <c r="AD19" s="145">
        <f t="shared" si="26"/>
        <v>92484.398000000001</v>
      </c>
      <c r="AE19" s="145">
        <f t="shared" ref="AE19" si="36">SUMIF($B5:$B16,"nem kötelező",AE5:AE16)</f>
        <v>92484.391999999993</v>
      </c>
      <c r="AF19" s="264">
        <f t="shared" si="2"/>
        <v>0.99999993512419239</v>
      </c>
    </row>
    <row r="20" spans="1:32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</sheetData>
  <mergeCells count="10">
    <mergeCell ref="P3:R3"/>
    <mergeCell ref="S3:U3"/>
    <mergeCell ref="V3:X3"/>
    <mergeCell ref="Y3:AA3"/>
    <mergeCell ref="C2:AF2"/>
    <mergeCell ref="AB3:AF3"/>
    <mergeCell ref="D3:F3"/>
    <mergeCell ref="G3:I3"/>
    <mergeCell ref="J3:L3"/>
    <mergeCell ref="M3:O3"/>
  </mergeCells>
  <printOptions horizontalCentered="1"/>
  <pageMargins left="0.70866141732283472" right="0.15748031496062992" top="0.74803149606299213" bottom="0.7480314960629921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12</vt:i4>
      </vt:variant>
    </vt:vector>
  </HeadingPairs>
  <TitlesOfParts>
    <vt:vector size="41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7.adóss keletk</vt:lpstr>
      <vt:lpstr>8.saját bev</vt:lpstr>
      <vt:lpstr>9.adóss fejl</vt:lpstr>
      <vt:lpstr>10.közvetett tamo</vt:lpstr>
      <vt:lpstr>11.EU-s</vt:lpstr>
      <vt:lpstr>12.pe átadás</vt:lpstr>
      <vt:lpstr>13.péneszk vált</vt:lpstr>
      <vt:lpstr>14.önk által folyósított</vt:lpstr>
      <vt:lpstr>15.részesed</vt:lpstr>
      <vt:lpstr>16vagyon</vt:lpstr>
      <vt:lpstr>17maradvány</vt:lpstr>
      <vt:lpstr>'1.2.kötelező'!Nyomtatási_terület</vt:lpstr>
      <vt:lpstr>'16vagyon'!Nyomtatási_terület</vt:lpstr>
      <vt:lpstr>'3.1 Önk bev.'!Nyomtatási_terület</vt:lpstr>
      <vt:lpstr>'3.2 PMH bev.'!Nyomtatási_terület</vt:lpstr>
      <vt:lpstr>'3.3 GKP bev'!Nyomtatási_terület</vt:lpstr>
      <vt:lpstr>'3.4 VE bev'!Nyomtatási_terület</vt:lpstr>
      <vt:lpstr>'3.5 MH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2019-04-03T06:30:53Z</dcterms:modified>
</cp:coreProperties>
</file>