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05" windowWidth="14805" windowHeight="7410" firstSheet="5" activeTab="14"/>
  </bookViews>
  <sheets>
    <sheet name="1.1.összevont" sheetId="1" r:id="rId1"/>
    <sheet name="1.2.kötelező" sheetId="4" r:id="rId2"/>
    <sheet name="1.3.önként" sheetId="5" r:id="rId3"/>
    <sheet name="1.4.államigazg" sheetId="6" r:id="rId4"/>
    <sheet name="2.1.műkmérleg" sheetId="2" r:id="rId5"/>
    <sheet name="2.2.felhmérleg" sheetId="7" r:id="rId6"/>
    <sheet name="3.1 Önk bev." sheetId="22" r:id="rId7"/>
    <sheet name="3.2 PMH bev." sheetId="23" r:id="rId8"/>
    <sheet name="3.3 GKP bev" sheetId="24" r:id="rId9"/>
    <sheet name="3.4 VE bev" sheetId="25" r:id="rId10"/>
    <sheet name="3.5 MH bev." sheetId="31" r:id="rId11"/>
    <sheet name="4.1.Önk kiad" sheetId="26" r:id="rId12"/>
    <sheet name="4.2.PMH kiad" sheetId="27" r:id="rId13"/>
    <sheet name="4.3. GKP kiad" sheetId="28" r:id="rId14"/>
    <sheet name="4.4. VE kiad" sheetId="29" r:id="rId15"/>
    <sheet name="4.5. MH kiad" sheetId="30" r:id="rId16"/>
    <sheet name="5.Beruh" sheetId="18" r:id="rId17"/>
    <sheet name="6.Felújít" sheetId="20" r:id="rId18"/>
  </sheets>
  <definedNames>
    <definedName name="_xlnm._FilterDatabase" localSheetId="6" hidden="1">'3.1 Önk bev.'!$B$2:$W$64</definedName>
    <definedName name="_xlnm.Print_Area" localSheetId="6">'3.1 Önk bev.'!$A$1:$Y$87</definedName>
    <definedName name="_xlnm.Print_Area" localSheetId="11">'4.1.Önk kiad'!$A$1:$AE$104</definedName>
    <definedName name="_xlnm.Print_Area" localSheetId="12">'4.2.PMH kiad'!$A$2:$Y$12</definedName>
    <definedName name="_xlnm.Print_Area" localSheetId="13">'4.3. GKP kiad'!$A$2:$Y$19</definedName>
    <definedName name="_xlnm.Print_Area" localSheetId="14">'4.4. VE kiad'!$A$2:$Y$10</definedName>
    <definedName name="_xlnm.Print_Area" localSheetId="15">'4.5. MH kiad'!$A$2:$Y$18</definedName>
    <definedName name="Verzió" localSheetId="7">#REF!</definedName>
    <definedName name="Verzió" localSheetId="8">#REF!</definedName>
    <definedName name="Verzió" localSheetId="9">#REF!</definedName>
    <definedName name="Verzió" localSheetId="10">#REF!</definedName>
    <definedName name="Verzió" localSheetId="11">#REF!</definedName>
    <definedName name="Verzió" localSheetId="12">#REF!</definedName>
    <definedName name="Verzió" localSheetId="13">#REF!</definedName>
    <definedName name="Verzió" localSheetId="14">#REF!</definedName>
    <definedName name="Verzió" localSheetId="15">#REF!</definedName>
    <definedName name="Verzió">#REF!</definedName>
  </definedNames>
  <calcPr calcId="145621"/>
</workbook>
</file>

<file path=xl/calcChain.xml><?xml version="1.0" encoding="utf-8"?>
<calcChain xmlns="http://schemas.openxmlformats.org/spreadsheetml/2006/main">
  <c r="M29" i="26" l="1"/>
  <c r="F17" i="20" l="1"/>
  <c r="F13" i="20"/>
  <c r="E13" i="20"/>
  <c r="F47" i="18"/>
  <c r="F68" i="18" s="1"/>
  <c r="F67" i="18"/>
  <c r="F66" i="18"/>
  <c r="F64" i="18"/>
  <c r="F56" i="18"/>
  <c r="F16" i="18"/>
  <c r="F43" i="18"/>
  <c r="F13" i="18"/>
  <c r="F19" i="18" s="1"/>
  <c r="F35" i="18"/>
  <c r="F11" i="18"/>
  <c r="E13" i="18"/>
  <c r="E64" i="18"/>
  <c r="G11" i="2"/>
  <c r="D76" i="4"/>
  <c r="D11" i="4"/>
  <c r="D9" i="4"/>
  <c r="D8" i="4"/>
  <c r="H68" i="22"/>
  <c r="H66" i="22"/>
  <c r="E72" i="1"/>
  <c r="Y18" i="26"/>
  <c r="O32" i="26"/>
  <c r="J66" i="22" l="1"/>
  <c r="AC6" i="26"/>
  <c r="AC7" i="26"/>
  <c r="AC8" i="26"/>
  <c r="AC9" i="26"/>
  <c r="AC10" i="26"/>
  <c r="AC11" i="26"/>
  <c r="AC12" i="26"/>
  <c r="AC13" i="26"/>
  <c r="AC14" i="26"/>
  <c r="AC15" i="26"/>
  <c r="AC16" i="26"/>
  <c r="AC17" i="26"/>
  <c r="AC18" i="26"/>
  <c r="AC19" i="26"/>
  <c r="AC20" i="26"/>
  <c r="AC21" i="26"/>
  <c r="AC22" i="26"/>
  <c r="AC23" i="26"/>
  <c r="AC24" i="26"/>
  <c r="AC25" i="26"/>
  <c r="AC26" i="26"/>
  <c r="AC27" i="26"/>
  <c r="AC28" i="26"/>
  <c r="AC29" i="26"/>
  <c r="AC75" i="26" s="1"/>
  <c r="AE105" i="26" s="1"/>
  <c r="AC30" i="26"/>
  <c r="AC31" i="26"/>
  <c r="AC32" i="26"/>
  <c r="AC33" i="26"/>
  <c r="AC34" i="26"/>
  <c r="AC35" i="26"/>
  <c r="AC36" i="26"/>
  <c r="AC37" i="26"/>
  <c r="AC38" i="26"/>
  <c r="AC39" i="26"/>
  <c r="AC40" i="26"/>
  <c r="AC41" i="26"/>
  <c r="AC42" i="26"/>
  <c r="AC43" i="26"/>
  <c r="AC44" i="26"/>
  <c r="AC45" i="26"/>
  <c r="AC46" i="26"/>
  <c r="AC47" i="26"/>
  <c r="AC48" i="26"/>
  <c r="AC49" i="26"/>
  <c r="AC50" i="26"/>
  <c r="AC51" i="26"/>
  <c r="AC52" i="26"/>
  <c r="AC53" i="26"/>
  <c r="AC54" i="26"/>
  <c r="AC55" i="26"/>
  <c r="AC56" i="26"/>
  <c r="AC57" i="26"/>
  <c r="AC58" i="26"/>
  <c r="AC59" i="26"/>
  <c r="AC60" i="26"/>
  <c r="AC61" i="26"/>
  <c r="AC62" i="26"/>
  <c r="AC63" i="26"/>
  <c r="AC64" i="26"/>
  <c r="AC65" i="26"/>
  <c r="AC66" i="26"/>
  <c r="AC67" i="26"/>
  <c r="AC68" i="26"/>
  <c r="AC69" i="26"/>
  <c r="AC70" i="26"/>
  <c r="AC71" i="26"/>
  <c r="AC72" i="26"/>
  <c r="AC73" i="26"/>
  <c r="AC74" i="26"/>
  <c r="AC5" i="26"/>
  <c r="AB6" i="26"/>
  <c r="AB7" i="26"/>
  <c r="AB8" i="26"/>
  <c r="AB9" i="26"/>
  <c r="AB10" i="26"/>
  <c r="AB11" i="26"/>
  <c r="AB12" i="26"/>
  <c r="AB13" i="26"/>
  <c r="AB14" i="26"/>
  <c r="AB15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32" i="26"/>
  <c r="AB33" i="26"/>
  <c r="AB34" i="26"/>
  <c r="AB35" i="26"/>
  <c r="AB36" i="26"/>
  <c r="AB37" i="26"/>
  <c r="AB38" i="26"/>
  <c r="AB39" i="26"/>
  <c r="AB40" i="26"/>
  <c r="AB41" i="26"/>
  <c r="AB42" i="26"/>
  <c r="AB43" i="26"/>
  <c r="AB44" i="26"/>
  <c r="AB45" i="26"/>
  <c r="AB46" i="26"/>
  <c r="AB47" i="26"/>
  <c r="AB48" i="26"/>
  <c r="AB49" i="26"/>
  <c r="AB50" i="26"/>
  <c r="AB51" i="26"/>
  <c r="AB52" i="26"/>
  <c r="AB53" i="26"/>
  <c r="AB54" i="26"/>
  <c r="AB55" i="26"/>
  <c r="AB56" i="26"/>
  <c r="AB57" i="26"/>
  <c r="AB58" i="26"/>
  <c r="AB59" i="26"/>
  <c r="AB60" i="26"/>
  <c r="AB61" i="26"/>
  <c r="AB62" i="26"/>
  <c r="AB63" i="26"/>
  <c r="AB64" i="26"/>
  <c r="AB65" i="26"/>
  <c r="AB66" i="26"/>
  <c r="AB67" i="26"/>
  <c r="AB68" i="26"/>
  <c r="AB69" i="26"/>
  <c r="AB70" i="26"/>
  <c r="AB71" i="26"/>
  <c r="AB72" i="26"/>
  <c r="AB73" i="26"/>
  <c r="AB74" i="26"/>
  <c r="AB5" i="26"/>
  <c r="Y65" i="22"/>
  <c r="W64" i="26"/>
  <c r="Y6" i="22"/>
  <c r="Y7" i="22"/>
  <c r="Y8" i="22"/>
  <c r="Y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Y64" i="22"/>
  <c r="Y5" i="22"/>
  <c r="M5" i="26"/>
  <c r="AE98" i="26"/>
  <c r="AE97" i="26"/>
  <c r="AE95" i="26"/>
  <c r="AE94" i="26"/>
  <c r="AE91" i="26"/>
  <c r="AA34" i="26"/>
  <c r="AA32" i="26"/>
  <c r="Y59" i="26"/>
  <c r="Y60" i="26"/>
  <c r="Y58" i="26"/>
  <c r="Y17" i="26"/>
  <c r="Y16" i="26"/>
  <c r="W14" i="26"/>
  <c r="W12" i="26"/>
  <c r="W55" i="26"/>
  <c r="W71" i="26"/>
  <c r="U66" i="26"/>
  <c r="U67" i="26"/>
  <c r="U68" i="26"/>
  <c r="U69" i="26"/>
  <c r="U65" i="26"/>
  <c r="U63" i="26"/>
  <c r="U61" i="26"/>
  <c r="U54" i="26"/>
  <c r="U55" i="26"/>
  <c r="U56" i="26"/>
  <c r="U58" i="26"/>
  <c r="U53" i="26"/>
  <c r="U41" i="26"/>
  <c r="U31" i="26"/>
  <c r="U15" i="26"/>
  <c r="Q11" i="26"/>
  <c r="O74" i="26"/>
  <c r="M51" i="26"/>
  <c r="M47" i="26"/>
  <c r="M37" i="26"/>
  <c r="M22" i="26"/>
  <c r="K24" i="26"/>
  <c r="K25" i="26"/>
  <c r="K26" i="26"/>
  <c r="K27" i="26"/>
  <c r="K28" i="26"/>
  <c r="K23" i="26"/>
  <c r="K20" i="26"/>
  <c r="K19" i="26"/>
  <c r="I44" i="26"/>
  <c r="I45" i="26"/>
  <c r="I46" i="26"/>
  <c r="I48" i="26"/>
  <c r="I49" i="26"/>
  <c r="I50" i="26"/>
  <c r="I54" i="26"/>
  <c r="I55" i="26"/>
  <c r="I56" i="26"/>
  <c r="I57" i="26"/>
  <c r="I58" i="26"/>
  <c r="I59" i="26"/>
  <c r="I60" i="26"/>
  <c r="I61" i="26"/>
  <c r="I63" i="26"/>
  <c r="I64" i="26"/>
  <c r="I70" i="26"/>
  <c r="I72" i="26"/>
  <c r="I43" i="26"/>
  <c r="I35" i="26"/>
  <c r="I36" i="26"/>
  <c r="I37" i="26"/>
  <c r="I38" i="26"/>
  <c r="I39" i="26"/>
  <c r="I40" i="26"/>
  <c r="I34" i="26"/>
  <c r="I31" i="26"/>
  <c r="I28" i="26"/>
  <c r="I14" i="26"/>
  <c r="I15" i="26"/>
  <c r="I13" i="26"/>
  <c r="I6" i="26"/>
  <c r="I5" i="26"/>
  <c r="G74" i="26"/>
  <c r="G58" i="26"/>
  <c r="G59" i="26"/>
  <c r="G60" i="26"/>
  <c r="G57" i="26"/>
  <c r="E74" i="26"/>
  <c r="E58" i="26"/>
  <c r="E59" i="26"/>
  <c r="E60" i="26"/>
  <c r="E57" i="26"/>
  <c r="G6" i="26"/>
  <c r="Y67" i="22"/>
  <c r="V12" i="31"/>
  <c r="V11" i="31"/>
  <c r="O6" i="30"/>
  <c r="I13" i="30"/>
  <c r="I7" i="30"/>
  <c r="I8" i="30"/>
  <c r="I9" i="30"/>
  <c r="I10" i="30"/>
  <c r="I11" i="30"/>
  <c r="I6" i="30"/>
  <c r="G13" i="30"/>
  <c r="G9" i="30"/>
  <c r="G6" i="30"/>
  <c r="E13" i="30"/>
  <c r="E10" i="30"/>
  <c r="E9" i="30"/>
  <c r="E6" i="30"/>
  <c r="O5" i="29"/>
  <c r="I5" i="29"/>
  <c r="G5" i="29"/>
  <c r="E5" i="29"/>
  <c r="O7" i="27"/>
  <c r="G5" i="27"/>
  <c r="E5" i="27"/>
  <c r="T42" i="22"/>
  <c r="T43" i="22"/>
  <c r="T44" i="22"/>
  <c r="T45" i="22"/>
  <c r="T46" i="22"/>
  <c r="T47" i="22"/>
  <c r="T48" i="22"/>
  <c r="T49" i="22"/>
  <c r="T50" i="22"/>
  <c r="T51" i="22"/>
  <c r="T41" i="22"/>
  <c r="T33" i="22"/>
  <c r="T32" i="22"/>
  <c r="P53" i="22"/>
  <c r="P54" i="22"/>
  <c r="P55" i="22"/>
  <c r="P56" i="22"/>
  <c r="P57" i="22"/>
  <c r="P58" i="22"/>
  <c r="P59" i="22"/>
  <c r="P60" i="22"/>
  <c r="P52" i="22"/>
  <c r="P42" i="22"/>
  <c r="P41" i="22"/>
  <c r="P32" i="22"/>
  <c r="N60" i="22"/>
  <c r="N42" i="22"/>
  <c r="N43" i="22"/>
  <c r="N44" i="22"/>
  <c r="N41" i="22"/>
  <c r="N35" i="22"/>
  <c r="N36" i="22"/>
  <c r="N34" i="22"/>
  <c r="N32" i="22"/>
  <c r="F64" i="22"/>
  <c r="F63" i="22"/>
  <c r="F37" i="22"/>
  <c r="F38" i="22"/>
  <c r="F36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13" i="22"/>
  <c r="H6" i="22"/>
  <c r="H7" i="22"/>
  <c r="H8" i="22"/>
  <c r="H9" i="22"/>
  <c r="H10" i="22"/>
  <c r="H11" i="22"/>
  <c r="H12" i="22"/>
  <c r="H5" i="22"/>
  <c r="G33" i="26"/>
  <c r="E33" i="26"/>
  <c r="E6" i="26"/>
  <c r="E5" i="26"/>
  <c r="S7" i="31"/>
  <c r="S8" i="31"/>
  <c r="S9" i="31"/>
  <c r="S10" i="31"/>
  <c r="S11" i="31"/>
  <c r="S12" i="31"/>
  <c r="S13" i="31"/>
  <c r="S6" i="31"/>
  <c r="Q12" i="31"/>
  <c r="Q11" i="31"/>
  <c r="I6" i="31"/>
  <c r="E7" i="31"/>
  <c r="E8" i="31"/>
  <c r="E9" i="31"/>
  <c r="E10" i="31"/>
  <c r="E11" i="31"/>
  <c r="E12" i="31"/>
  <c r="E13" i="31"/>
  <c r="E6" i="31"/>
  <c r="Q6" i="24"/>
  <c r="Q7" i="24"/>
  <c r="Q8" i="24"/>
  <c r="Q9" i="24"/>
  <c r="Q10" i="24"/>
  <c r="Q11" i="24"/>
  <c r="Q12" i="24"/>
  <c r="Q13" i="24"/>
  <c r="Q14" i="24"/>
  <c r="Q5" i="24"/>
  <c r="E13" i="24"/>
  <c r="E10" i="24"/>
  <c r="O14" i="28"/>
  <c r="O13" i="28"/>
  <c r="O5" i="28"/>
  <c r="I6" i="28"/>
  <c r="I7" i="28"/>
  <c r="I8" i="28"/>
  <c r="I9" i="28"/>
  <c r="I10" i="28"/>
  <c r="I11" i="28"/>
  <c r="I12" i="28"/>
  <c r="I13" i="28"/>
  <c r="I14" i="28"/>
  <c r="I5" i="28"/>
  <c r="G6" i="28"/>
  <c r="G7" i="28"/>
  <c r="G8" i="28"/>
  <c r="G9" i="28"/>
  <c r="G10" i="28"/>
  <c r="G11" i="28"/>
  <c r="G12" i="28"/>
  <c r="G13" i="28"/>
  <c r="G14" i="28"/>
  <c r="G5" i="28"/>
  <c r="E6" i="28"/>
  <c r="E7" i="28"/>
  <c r="E8" i="28"/>
  <c r="E9" i="28"/>
  <c r="E10" i="28"/>
  <c r="E11" i="28"/>
  <c r="E12" i="28"/>
  <c r="E13" i="28"/>
  <c r="E14" i="28"/>
  <c r="E5" i="28"/>
  <c r="T40" i="22"/>
  <c r="U62" i="26"/>
  <c r="I7" i="27"/>
  <c r="E35" i="18"/>
  <c r="B35" i="18"/>
  <c r="G31" i="26"/>
  <c r="E31" i="26"/>
  <c r="I33" i="26"/>
  <c r="X18" i="26"/>
  <c r="Q7" i="23"/>
  <c r="G7" i="27"/>
  <c r="E7" i="27"/>
  <c r="AE88" i="26"/>
  <c r="G30" i="26" l="1"/>
  <c r="E30" i="26"/>
  <c r="N33" i="22"/>
  <c r="E83" i="26"/>
  <c r="D83" i="26"/>
  <c r="G12" i="30"/>
  <c r="E12" i="30"/>
  <c r="I12" i="31"/>
  <c r="O10" i="28"/>
  <c r="U64" i="26"/>
  <c r="M21" i="26"/>
  <c r="O42" i="26"/>
  <c r="I42" i="26"/>
  <c r="Y12" i="30" l="1"/>
  <c r="V12" i="30"/>
  <c r="E14" i="30"/>
  <c r="F14" i="30"/>
  <c r="G14" i="30"/>
  <c r="H14" i="30"/>
  <c r="I14" i="30"/>
  <c r="D14" i="30"/>
  <c r="AB75" i="26"/>
  <c r="D75" i="26"/>
  <c r="T12" i="31"/>
  <c r="T6" i="31"/>
  <c r="T7" i="31"/>
  <c r="T8" i="31"/>
  <c r="T9" i="31"/>
  <c r="T10" i="31"/>
  <c r="T11" i="31"/>
  <c r="T13" i="31"/>
  <c r="P16" i="31"/>
  <c r="Q16" i="31"/>
  <c r="P15" i="31"/>
  <c r="Q15" i="31"/>
  <c r="P14" i="31"/>
  <c r="Q14" i="31"/>
  <c r="P15" i="24"/>
  <c r="Y81" i="22"/>
  <c r="Y80" i="22"/>
  <c r="Y78" i="22"/>
  <c r="Y77" i="22"/>
  <c r="Y75" i="22"/>
  <c r="Y74" i="22"/>
  <c r="Y71" i="22"/>
  <c r="Y72" i="22"/>
  <c r="Y70" i="22"/>
  <c r="W81" i="22"/>
  <c r="W80" i="22"/>
  <c r="S86" i="22"/>
  <c r="T86" i="22"/>
  <c r="S79" i="22"/>
  <c r="S82" i="22" s="1"/>
  <c r="T79" i="22"/>
  <c r="S76" i="22"/>
  <c r="T76" i="22"/>
  <c r="S73" i="22"/>
  <c r="T73" i="22"/>
  <c r="W67" i="22"/>
  <c r="W33" i="22"/>
  <c r="W34" i="22"/>
  <c r="W35" i="22"/>
  <c r="W36" i="22"/>
  <c r="W37" i="22"/>
  <c r="W38" i="22"/>
  <c r="W39" i="22"/>
  <c r="W40" i="22"/>
  <c r="W41" i="22"/>
  <c r="W42" i="22"/>
  <c r="W43" i="22"/>
  <c r="W44" i="22"/>
  <c r="W45" i="22"/>
  <c r="W46" i="22"/>
  <c r="W47" i="22"/>
  <c r="W48" i="22"/>
  <c r="W49" i="22"/>
  <c r="W50" i="22"/>
  <c r="W51" i="22"/>
  <c r="W32" i="22"/>
  <c r="X40" i="22"/>
  <c r="W52" i="22"/>
  <c r="W53" i="22"/>
  <c r="W54" i="22"/>
  <c r="W55" i="22"/>
  <c r="W56" i="22"/>
  <c r="W57" i="22"/>
  <c r="W58" i="22"/>
  <c r="W59" i="22"/>
  <c r="W60" i="22"/>
  <c r="W63" i="22"/>
  <c r="S68" i="22"/>
  <c r="S85" i="22" s="1"/>
  <c r="T68" i="22"/>
  <c r="T85" i="22" s="1"/>
  <c r="S66" i="22"/>
  <c r="S84" i="22" s="1"/>
  <c r="T66" i="22"/>
  <c r="T84" i="22" s="1"/>
  <c r="S65" i="22"/>
  <c r="T65" i="22"/>
  <c r="T82" i="22" s="1"/>
  <c r="I66" i="22"/>
  <c r="G66" i="22"/>
  <c r="T87" i="22" l="1"/>
  <c r="S87" i="22"/>
  <c r="W79" i="22"/>
  <c r="C72" i="4" l="1"/>
  <c r="D72" i="1"/>
  <c r="E17" i="20"/>
  <c r="D17" i="20"/>
  <c r="B17" i="20"/>
  <c r="E67" i="18"/>
  <c r="D64" i="18"/>
  <c r="B64" i="18"/>
  <c r="E56" i="18"/>
  <c r="D56" i="18"/>
  <c r="B56" i="18"/>
  <c r="E47" i="18"/>
  <c r="E19" i="18"/>
  <c r="B19" i="18"/>
  <c r="E11" i="18"/>
  <c r="E43" i="18" s="1"/>
  <c r="E68" i="18" s="1"/>
  <c r="B11" i="18"/>
  <c r="B43" i="18" s="1"/>
  <c r="B68" i="18" l="1"/>
  <c r="D68" i="18"/>
  <c r="V6" i="27"/>
  <c r="T6" i="23"/>
  <c r="V68" i="22"/>
  <c r="V66" i="22"/>
  <c r="U68" i="22"/>
  <c r="U66" i="22"/>
  <c r="D14" i="7" l="1"/>
  <c r="D15" i="5"/>
  <c r="D19" i="5"/>
  <c r="D64" i="5"/>
  <c r="G11" i="20"/>
  <c r="X80" i="22" l="1"/>
  <c r="J68" i="22"/>
  <c r="F66" i="22"/>
  <c r="W71" i="22"/>
  <c r="W72" i="22"/>
  <c r="Y7" i="30"/>
  <c r="Y8" i="30"/>
  <c r="Y9" i="30"/>
  <c r="Y10" i="30"/>
  <c r="Y11" i="30"/>
  <c r="Y13" i="30"/>
  <c r="Y6" i="30"/>
  <c r="V13" i="31"/>
  <c r="V14" i="31" s="1"/>
  <c r="V7" i="31"/>
  <c r="V8" i="31"/>
  <c r="V9" i="31"/>
  <c r="V10" i="31"/>
  <c r="V6" i="31"/>
  <c r="O6" i="25"/>
  <c r="O7" i="25"/>
  <c r="O8" i="25"/>
  <c r="M6" i="25"/>
  <c r="M7" i="25"/>
  <c r="M8" i="25"/>
  <c r="K6" i="25"/>
  <c r="K7" i="25"/>
  <c r="K8" i="25"/>
  <c r="I6" i="25"/>
  <c r="I7" i="25"/>
  <c r="I8" i="25"/>
  <c r="G6" i="25"/>
  <c r="G7" i="25"/>
  <c r="G8" i="25"/>
  <c r="E6" i="25"/>
  <c r="E7" i="25"/>
  <c r="E8" i="25"/>
  <c r="Y6" i="27" l="1"/>
  <c r="W6" i="23"/>
  <c r="V10" i="30" l="1"/>
  <c r="V11" i="30"/>
  <c r="W14" i="30"/>
  <c r="X14" i="30"/>
  <c r="Y14" i="30"/>
  <c r="W15" i="30"/>
  <c r="X15" i="30"/>
  <c r="Y15" i="30"/>
  <c r="W16" i="30"/>
  <c r="X16" i="30"/>
  <c r="Y16" i="30"/>
  <c r="U14" i="30"/>
  <c r="U15" i="30"/>
  <c r="U16" i="30"/>
  <c r="S14" i="30"/>
  <c r="S15" i="30"/>
  <c r="S16" i="30"/>
  <c r="Q14" i="30"/>
  <c r="Q15" i="30"/>
  <c r="Q16" i="30"/>
  <c r="O14" i="30"/>
  <c r="O15" i="30"/>
  <c r="O16" i="30"/>
  <c r="M14" i="30"/>
  <c r="M15" i="30"/>
  <c r="M16" i="30"/>
  <c r="K14" i="30"/>
  <c r="K15" i="30"/>
  <c r="K16" i="30"/>
  <c r="I15" i="30"/>
  <c r="I16" i="30"/>
  <c r="G15" i="30"/>
  <c r="G16" i="30"/>
  <c r="E15" i="30"/>
  <c r="E16" i="30"/>
  <c r="U14" i="31"/>
  <c r="U15" i="31"/>
  <c r="V15" i="31"/>
  <c r="U16" i="31"/>
  <c r="V16" i="31"/>
  <c r="S14" i="31"/>
  <c r="S15" i="31"/>
  <c r="S16" i="31"/>
  <c r="O14" i="31"/>
  <c r="O15" i="31"/>
  <c r="O16" i="31"/>
  <c r="M14" i="31"/>
  <c r="M15" i="31"/>
  <c r="M16" i="31"/>
  <c r="K14" i="31"/>
  <c r="K15" i="31"/>
  <c r="K16" i="31"/>
  <c r="I14" i="31"/>
  <c r="I15" i="31"/>
  <c r="I16" i="31"/>
  <c r="G14" i="31"/>
  <c r="G15" i="31"/>
  <c r="G16" i="31"/>
  <c r="E14" i="31"/>
  <c r="E15" i="31"/>
  <c r="E16" i="31"/>
  <c r="W70" i="22" l="1"/>
  <c r="K86" i="22" l="1"/>
  <c r="L86" i="22"/>
  <c r="L84" i="22"/>
  <c r="K79" i="22"/>
  <c r="L79" i="22"/>
  <c r="K76" i="22"/>
  <c r="L76" i="22"/>
  <c r="K73" i="22"/>
  <c r="L73" i="22"/>
  <c r="W78" i="22"/>
  <c r="W77" i="22"/>
  <c r="Y73" i="22"/>
  <c r="X75" i="22"/>
  <c r="X74" i="22"/>
  <c r="W75" i="22"/>
  <c r="W74" i="22"/>
  <c r="N68" i="22" l="1"/>
  <c r="O68" i="22"/>
  <c r="P68" i="22"/>
  <c r="Q68" i="22"/>
  <c r="R68" i="22"/>
  <c r="N66" i="22"/>
  <c r="O66" i="22"/>
  <c r="P66" i="22"/>
  <c r="Q66" i="22"/>
  <c r="R66" i="22"/>
  <c r="K66" i="22"/>
  <c r="K84" i="22" s="1"/>
  <c r="K68" i="22"/>
  <c r="K85" i="22" s="1"/>
  <c r="M68" i="22"/>
  <c r="M66" i="22"/>
  <c r="E68" i="22"/>
  <c r="E66" i="22"/>
  <c r="W66" i="22" s="1"/>
  <c r="X5" i="22"/>
  <c r="W6" i="22"/>
  <c r="W7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6" i="22"/>
  <c r="W30" i="22"/>
  <c r="W31" i="22"/>
  <c r="W64" i="22"/>
  <c r="W5" i="22"/>
  <c r="L68" i="22"/>
  <c r="L85" i="22" s="1"/>
  <c r="L87" i="22" s="1"/>
  <c r="K65" i="22"/>
  <c r="K82" i="22" s="1"/>
  <c r="L65" i="22"/>
  <c r="L82" i="22" s="1"/>
  <c r="W29" i="22"/>
  <c r="W28" i="22"/>
  <c r="W27" i="22"/>
  <c r="W25" i="22"/>
  <c r="W24" i="22"/>
  <c r="K87" i="22" l="1"/>
  <c r="W23" i="22"/>
  <c r="W65" i="22" s="1"/>
  <c r="E85" i="22"/>
  <c r="E84" i="22"/>
  <c r="G84" i="22"/>
  <c r="G86" i="22"/>
  <c r="G79" i="22"/>
  <c r="G76" i="22"/>
  <c r="G73" i="22"/>
  <c r="G69" i="22"/>
  <c r="G85" i="22"/>
  <c r="G65" i="22"/>
  <c r="E86" i="22"/>
  <c r="E79" i="22"/>
  <c r="E76" i="22"/>
  <c r="E73" i="22"/>
  <c r="E69" i="22"/>
  <c r="E65" i="22"/>
  <c r="C15" i="7"/>
  <c r="C19" i="7" s="1"/>
  <c r="C20" i="7" s="1"/>
  <c r="C14" i="7"/>
  <c r="F14" i="7"/>
  <c r="F20" i="7" s="1"/>
  <c r="F19" i="2"/>
  <c r="F14" i="2"/>
  <c r="C15" i="2"/>
  <c r="C19" i="2" s="1"/>
  <c r="C14" i="2"/>
  <c r="C81" i="6"/>
  <c r="C76" i="6"/>
  <c r="C86" i="6" s="1"/>
  <c r="C67" i="6"/>
  <c r="C53" i="6"/>
  <c r="C75" i="6" s="1"/>
  <c r="C87" i="6" s="1"/>
  <c r="C41" i="6"/>
  <c r="C35" i="6"/>
  <c r="C47" i="6" s="1"/>
  <c r="C23" i="6"/>
  <c r="C19" i="6"/>
  <c r="C15" i="6"/>
  <c r="C8" i="6"/>
  <c r="C34" i="6" s="1"/>
  <c r="C48" i="6" s="1"/>
  <c r="C8" i="5"/>
  <c r="C15" i="5"/>
  <c r="C19" i="5"/>
  <c r="C24" i="5"/>
  <c r="C23" i="5" s="1"/>
  <c r="C34" i="5" s="1"/>
  <c r="C48" i="5" s="1"/>
  <c r="C35" i="5"/>
  <c r="C41" i="5"/>
  <c r="C47" i="5"/>
  <c r="C81" i="5"/>
  <c r="C76" i="5"/>
  <c r="C86" i="5" s="1"/>
  <c r="C67" i="5"/>
  <c r="C64" i="5"/>
  <c r="C58" i="5"/>
  <c r="C53" i="5" s="1"/>
  <c r="C75" i="5" s="1"/>
  <c r="C87" i="5" s="1"/>
  <c r="C81" i="4"/>
  <c r="C76" i="4"/>
  <c r="C86" i="4" s="1"/>
  <c r="C67" i="4"/>
  <c r="C64" i="4"/>
  <c r="C58" i="4"/>
  <c r="C53" i="4" s="1"/>
  <c r="C75" i="4" s="1"/>
  <c r="C91" i="4" s="1"/>
  <c r="C35" i="4"/>
  <c r="C24" i="4"/>
  <c r="C23" i="4" s="1"/>
  <c r="C19" i="4"/>
  <c r="C15" i="4"/>
  <c r="C8" i="4"/>
  <c r="D24" i="5"/>
  <c r="D23" i="5" s="1"/>
  <c r="E58" i="1"/>
  <c r="D81" i="1"/>
  <c r="D76" i="1"/>
  <c r="D86" i="1" s="1"/>
  <c r="D67" i="1"/>
  <c r="D64" i="1"/>
  <c r="D53" i="1" s="1"/>
  <c r="D75" i="1" s="1"/>
  <c r="D58" i="1"/>
  <c r="E24" i="1"/>
  <c r="D41" i="1"/>
  <c r="D35" i="1"/>
  <c r="D47" i="1" s="1"/>
  <c r="D24" i="1"/>
  <c r="D23" i="1" s="1"/>
  <c r="D19" i="1"/>
  <c r="D15" i="1"/>
  <c r="D8" i="1"/>
  <c r="D87" i="1" l="1"/>
  <c r="C21" i="2"/>
  <c r="C21" i="7"/>
  <c r="C22" i="7"/>
  <c r="F20" i="2"/>
  <c r="C20" i="2"/>
  <c r="D34" i="1"/>
  <c r="D48" i="1" s="1"/>
  <c r="C87" i="4"/>
  <c r="G87" i="22"/>
  <c r="W84" i="22"/>
  <c r="G82" i="22"/>
  <c r="E87" i="22"/>
  <c r="E82" i="22"/>
  <c r="C34" i="4"/>
  <c r="C47" i="4"/>
  <c r="G14" i="7"/>
  <c r="G20" i="7" s="1"/>
  <c r="D15" i="7"/>
  <c r="D19" i="7" s="1"/>
  <c r="D15" i="2"/>
  <c r="D19" i="2" s="1"/>
  <c r="G19" i="2"/>
  <c r="G14" i="2"/>
  <c r="D14" i="2"/>
  <c r="D81" i="6"/>
  <c r="D76" i="6"/>
  <c r="D86" i="6" s="1"/>
  <c r="D67" i="6"/>
  <c r="D53" i="6"/>
  <c r="D75" i="6" s="1"/>
  <c r="D87" i="6" s="1"/>
  <c r="D41" i="6"/>
  <c r="D35" i="6"/>
  <c r="D47" i="6" s="1"/>
  <c r="D92" i="6" s="1"/>
  <c r="D23" i="6"/>
  <c r="D19" i="6"/>
  <c r="D15" i="6"/>
  <c r="D8" i="6"/>
  <c r="D34" i="6" s="1"/>
  <c r="D48" i="6" s="1"/>
  <c r="D81" i="5"/>
  <c r="D76" i="5"/>
  <c r="D86" i="5" s="1"/>
  <c r="D67" i="5"/>
  <c r="D58" i="5"/>
  <c r="D41" i="5"/>
  <c r="D35" i="5"/>
  <c r="D47" i="5" s="1"/>
  <c r="D8" i="5"/>
  <c r="D81" i="4"/>
  <c r="D86" i="4" s="1"/>
  <c r="D67" i="4"/>
  <c r="D58" i="4"/>
  <c r="D53" i="4" s="1"/>
  <c r="D19" i="4"/>
  <c r="D47" i="4"/>
  <c r="D35" i="4"/>
  <c r="D24" i="4"/>
  <c r="D23" i="4" s="1"/>
  <c r="D15" i="4"/>
  <c r="E81" i="1"/>
  <c r="E76" i="1"/>
  <c r="E67" i="1"/>
  <c r="E64" i="1"/>
  <c r="E53" i="1" s="1"/>
  <c r="J86" i="22"/>
  <c r="E35" i="1"/>
  <c r="E47" i="1" s="1"/>
  <c r="E23" i="1"/>
  <c r="E19" i="1"/>
  <c r="E15" i="1"/>
  <c r="E8" i="1"/>
  <c r="C22" i="2" l="1"/>
  <c r="D21" i="7"/>
  <c r="D21" i="2"/>
  <c r="D92" i="4"/>
  <c r="E86" i="1"/>
  <c r="E92" i="1" s="1"/>
  <c r="E75" i="1"/>
  <c r="C48" i="4"/>
  <c r="D20" i="7"/>
  <c r="D22" i="7" s="1"/>
  <c r="G20" i="2"/>
  <c r="D20" i="2"/>
  <c r="D91" i="6"/>
  <c r="D53" i="5"/>
  <c r="D75" i="5" s="1"/>
  <c r="D87" i="5" s="1"/>
  <c r="D34" i="5"/>
  <c r="D92" i="5"/>
  <c r="D75" i="4"/>
  <c r="D87" i="4" s="1"/>
  <c r="D34" i="4"/>
  <c r="D48" i="4" s="1"/>
  <c r="E34" i="1"/>
  <c r="X86" i="22"/>
  <c r="Y86" i="22"/>
  <c r="V86" i="22"/>
  <c r="R86" i="22"/>
  <c r="P86" i="22"/>
  <c r="N86" i="22"/>
  <c r="H86" i="22"/>
  <c r="F86" i="22"/>
  <c r="X81" i="22"/>
  <c r="V79" i="22"/>
  <c r="R79" i="22"/>
  <c r="F79" i="22"/>
  <c r="H79" i="22"/>
  <c r="I79" i="22"/>
  <c r="J79" i="22"/>
  <c r="M79" i="22"/>
  <c r="N79" i="22"/>
  <c r="O79" i="22"/>
  <c r="P79" i="22"/>
  <c r="AE101" i="26"/>
  <c r="AE102" i="26"/>
  <c r="AE103" i="26"/>
  <c r="AA102" i="26"/>
  <c r="Y102" i="26"/>
  <c r="W102" i="26"/>
  <c r="U102" i="26"/>
  <c r="S102" i="26"/>
  <c r="Q102" i="26"/>
  <c r="O102" i="26"/>
  <c r="M102" i="26"/>
  <c r="K102" i="26"/>
  <c r="I102" i="26"/>
  <c r="G102" i="26"/>
  <c r="AA85" i="26"/>
  <c r="AA101" i="26" s="1"/>
  <c r="AA86" i="26"/>
  <c r="AA103" i="26" s="1"/>
  <c r="Y85" i="26"/>
  <c r="Y101" i="26" s="1"/>
  <c r="W85" i="26"/>
  <c r="W101" i="26" s="1"/>
  <c r="W86" i="26"/>
  <c r="W103" i="26" s="1"/>
  <c r="U86" i="26"/>
  <c r="U103" i="26" s="1"/>
  <c r="S85" i="26"/>
  <c r="S101" i="26" s="1"/>
  <c r="S86" i="26"/>
  <c r="S103" i="26" s="1"/>
  <c r="Q85" i="26"/>
  <c r="Q101" i="26" s="1"/>
  <c r="Q86" i="26"/>
  <c r="Q103" i="26" s="1"/>
  <c r="O85" i="26"/>
  <c r="O101" i="26" s="1"/>
  <c r="O86" i="26"/>
  <c r="O103" i="26" s="1"/>
  <c r="M86" i="26"/>
  <c r="M103" i="26" s="1"/>
  <c r="K85" i="26"/>
  <c r="K101" i="26" s="1"/>
  <c r="K86" i="26"/>
  <c r="K103" i="26" s="1"/>
  <c r="I85" i="26"/>
  <c r="I101" i="26" s="1"/>
  <c r="I86" i="26"/>
  <c r="I103" i="26" s="1"/>
  <c r="G86" i="26"/>
  <c r="G103" i="26" s="1"/>
  <c r="E86" i="26"/>
  <c r="E103" i="26" s="1"/>
  <c r="E102" i="26"/>
  <c r="AE96" i="26"/>
  <c r="AC98" i="26"/>
  <c r="AB98" i="26"/>
  <c r="K96" i="26"/>
  <c r="L96" i="26"/>
  <c r="M96" i="26"/>
  <c r="N96" i="26"/>
  <c r="O96" i="26"/>
  <c r="P96" i="26"/>
  <c r="Q96" i="26"/>
  <c r="R96" i="26"/>
  <c r="S96" i="26"/>
  <c r="T96" i="26"/>
  <c r="U96" i="26"/>
  <c r="V96" i="26"/>
  <c r="W96" i="26"/>
  <c r="X96" i="26"/>
  <c r="Y96" i="26"/>
  <c r="Z96" i="26"/>
  <c r="AA96" i="26"/>
  <c r="I96" i="26"/>
  <c r="E96" i="26"/>
  <c r="AC97" i="26"/>
  <c r="AC96" i="26" s="1"/>
  <c r="AE93" i="26"/>
  <c r="AC95" i="26"/>
  <c r="AC94" i="26"/>
  <c r="AB95" i="26"/>
  <c r="AB94" i="26"/>
  <c r="U93" i="26"/>
  <c r="Q93" i="26"/>
  <c r="O93" i="26"/>
  <c r="M93" i="26"/>
  <c r="K93" i="26"/>
  <c r="I93" i="26"/>
  <c r="G93" i="26"/>
  <c r="E93" i="26"/>
  <c r="AC92" i="26"/>
  <c r="AB92" i="26"/>
  <c r="AC91" i="26"/>
  <c r="L90" i="26"/>
  <c r="M90" i="26"/>
  <c r="N90" i="26"/>
  <c r="O90" i="26"/>
  <c r="P90" i="26"/>
  <c r="Q90" i="26"/>
  <c r="R90" i="26"/>
  <c r="S90" i="26"/>
  <c r="U90" i="26"/>
  <c r="V90" i="26"/>
  <c r="W90" i="26"/>
  <c r="X90" i="26"/>
  <c r="Y90" i="26"/>
  <c r="Z90" i="26"/>
  <c r="AA90" i="26"/>
  <c r="K90" i="26"/>
  <c r="I90" i="26"/>
  <c r="G90" i="26"/>
  <c r="E90" i="26"/>
  <c r="AE87" i="26"/>
  <c r="AC88" i="26"/>
  <c r="AC89" i="26"/>
  <c r="AC102" i="26" s="1"/>
  <c r="U87" i="26"/>
  <c r="Q87" i="26"/>
  <c r="O87" i="26"/>
  <c r="M87" i="26"/>
  <c r="K87" i="26"/>
  <c r="I87" i="26"/>
  <c r="AB89" i="26"/>
  <c r="AB88" i="26"/>
  <c r="G87" i="26"/>
  <c r="E87" i="26"/>
  <c r="X78" i="22"/>
  <c r="X77" i="22"/>
  <c r="R76" i="22"/>
  <c r="P76" i="22"/>
  <c r="N76" i="22"/>
  <c r="J76" i="22"/>
  <c r="H76" i="22"/>
  <c r="F76" i="22"/>
  <c r="V76" i="22"/>
  <c r="E87" i="1" l="1"/>
  <c r="E91" i="1"/>
  <c r="X79" i="22"/>
  <c r="AC90" i="26"/>
  <c r="AC87" i="26"/>
  <c r="AE104" i="26"/>
  <c r="AC93" i="26"/>
  <c r="AA104" i="26"/>
  <c r="I104" i="26"/>
  <c r="K104" i="26"/>
  <c r="W104" i="26"/>
  <c r="Y79" i="22"/>
  <c r="X76" i="22"/>
  <c r="Y76" i="22"/>
  <c r="G22" i="7"/>
  <c r="D22" i="2"/>
  <c r="D91" i="5"/>
  <c r="D48" i="5"/>
  <c r="E48" i="1"/>
  <c r="D91" i="4"/>
  <c r="O104" i="26"/>
  <c r="Q104" i="26"/>
  <c r="S104" i="26"/>
  <c r="G96" i="26"/>
  <c r="AB87" i="26"/>
  <c r="X73" i="22"/>
  <c r="V73" i="22"/>
  <c r="R73" i="22"/>
  <c r="P73" i="22"/>
  <c r="N73" i="22"/>
  <c r="J73" i="22"/>
  <c r="H73" i="22"/>
  <c r="Y69" i="22"/>
  <c r="X70" i="22"/>
  <c r="X69" i="22" s="1"/>
  <c r="F69" i="22"/>
  <c r="F73" i="22"/>
  <c r="V69" i="22"/>
  <c r="W17" i="28"/>
  <c r="W16" i="28"/>
  <c r="X16" i="28"/>
  <c r="W15" i="28"/>
  <c r="Y6" i="28"/>
  <c r="Y7" i="28"/>
  <c r="Y8" i="28"/>
  <c r="Y9" i="28"/>
  <c r="Y10" i="28"/>
  <c r="Y11" i="28"/>
  <c r="Y12" i="28"/>
  <c r="Y13" i="28"/>
  <c r="Y14" i="28"/>
  <c r="Y5" i="28"/>
  <c r="G15" i="28"/>
  <c r="U15" i="28"/>
  <c r="U16" i="28"/>
  <c r="U17" i="28"/>
  <c r="S15" i="28"/>
  <c r="S16" i="28"/>
  <c r="S17" i="28"/>
  <c r="Q15" i="28"/>
  <c r="Q16" i="28"/>
  <c r="Q17" i="28"/>
  <c r="O15" i="28"/>
  <c r="O16" i="28"/>
  <c r="O17" i="28"/>
  <c r="M15" i="28"/>
  <c r="M16" i="28"/>
  <c r="M17" i="28"/>
  <c r="K15" i="28"/>
  <c r="K16" i="28"/>
  <c r="K17" i="28"/>
  <c r="I15" i="28"/>
  <c r="I16" i="28"/>
  <c r="I17" i="28"/>
  <c r="G16" i="28"/>
  <c r="G17" i="28"/>
  <c r="E16" i="28"/>
  <c r="E17" i="28"/>
  <c r="V6" i="24"/>
  <c r="V7" i="24"/>
  <c r="V8" i="24"/>
  <c r="V9" i="24"/>
  <c r="V10" i="24"/>
  <c r="V11" i="24"/>
  <c r="V12" i="24"/>
  <c r="V13" i="24"/>
  <c r="V14" i="24"/>
  <c r="V5" i="24"/>
  <c r="U10" i="24"/>
  <c r="U17" i="24" s="1"/>
  <c r="T10" i="24"/>
  <c r="U5" i="24"/>
  <c r="U16" i="24" s="1"/>
  <c r="R17" i="24"/>
  <c r="S17" i="24"/>
  <c r="R16" i="24"/>
  <c r="S16" i="24"/>
  <c r="R15" i="24"/>
  <c r="S15" i="24"/>
  <c r="Y16" i="28" l="1"/>
  <c r="Y17" i="28"/>
  <c r="Y15" i="28"/>
  <c r="V16" i="24"/>
  <c r="V17" i="24"/>
  <c r="U15" i="24"/>
  <c r="V15" i="24"/>
  <c r="E15" i="28"/>
  <c r="Q15" i="24"/>
  <c r="Q16" i="24"/>
  <c r="Q17" i="24"/>
  <c r="O15" i="24"/>
  <c r="O16" i="24"/>
  <c r="O17" i="24"/>
  <c r="M15" i="24"/>
  <c r="M16" i="24"/>
  <c r="M17" i="24"/>
  <c r="K15" i="24"/>
  <c r="K16" i="24"/>
  <c r="K17" i="24"/>
  <c r="I15" i="24"/>
  <c r="I16" i="24"/>
  <c r="I17" i="24"/>
  <c r="G15" i="24"/>
  <c r="G16" i="24"/>
  <c r="G17" i="24"/>
  <c r="E15" i="24"/>
  <c r="E16" i="24"/>
  <c r="E17" i="24"/>
  <c r="Y7" i="27" l="1"/>
  <c r="Y5" i="27"/>
  <c r="W5" i="27"/>
  <c r="W7" i="27"/>
  <c r="W9" i="27"/>
  <c r="Y9" i="27"/>
  <c r="W10" i="27"/>
  <c r="Y10" i="27"/>
  <c r="U8" i="27"/>
  <c r="U9" i="27"/>
  <c r="U10" i="27"/>
  <c r="S8" i="27"/>
  <c r="S9" i="27"/>
  <c r="S10" i="27"/>
  <c r="Q8" i="27"/>
  <c r="Q9" i="27"/>
  <c r="Q10" i="27"/>
  <c r="O8" i="27"/>
  <c r="O9" i="27"/>
  <c r="O10" i="27"/>
  <c r="M8" i="27"/>
  <c r="M9" i="27"/>
  <c r="M10" i="27"/>
  <c r="K8" i="27"/>
  <c r="K9" i="27"/>
  <c r="K10" i="27"/>
  <c r="I8" i="27"/>
  <c r="I9" i="27"/>
  <c r="I10" i="27"/>
  <c r="G8" i="27"/>
  <c r="G9" i="27"/>
  <c r="G10" i="27"/>
  <c r="E10" i="27"/>
  <c r="E9" i="27"/>
  <c r="E8" i="27"/>
  <c r="Y8" i="27" l="1"/>
  <c r="W8" i="27"/>
  <c r="V10" i="23"/>
  <c r="U9" i="23"/>
  <c r="V9" i="23"/>
  <c r="W7" i="23"/>
  <c r="W9" i="23" s="1"/>
  <c r="W5" i="23"/>
  <c r="W10" i="23" s="1"/>
  <c r="T5" i="23"/>
  <c r="U5" i="23"/>
  <c r="U10" i="23" s="1"/>
  <c r="V5" i="23"/>
  <c r="R10" i="23"/>
  <c r="S10" i="23"/>
  <c r="R9" i="23"/>
  <c r="S9" i="23"/>
  <c r="R8" i="23"/>
  <c r="S8" i="23"/>
  <c r="Q8" i="23"/>
  <c r="Q9" i="23"/>
  <c r="Q10" i="23"/>
  <c r="O8" i="23"/>
  <c r="O9" i="23"/>
  <c r="O10" i="23"/>
  <c r="M8" i="23"/>
  <c r="M9" i="23"/>
  <c r="M10" i="23"/>
  <c r="K8" i="23"/>
  <c r="K9" i="23"/>
  <c r="K10" i="23"/>
  <c r="I8" i="23"/>
  <c r="I9" i="23"/>
  <c r="I10" i="23"/>
  <c r="G8" i="23"/>
  <c r="G9" i="23"/>
  <c r="G10" i="23"/>
  <c r="E8" i="23"/>
  <c r="E9" i="23"/>
  <c r="E10" i="23"/>
  <c r="Y5" i="29"/>
  <c r="W5" i="29"/>
  <c r="X5" i="29"/>
  <c r="W6" i="29"/>
  <c r="W7" i="29"/>
  <c r="X7" i="29"/>
  <c r="Y7" i="29"/>
  <c r="W8" i="29"/>
  <c r="X8" i="29"/>
  <c r="Y8" i="29"/>
  <c r="U6" i="29"/>
  <c r="U7" i="29"/>
  <c r="U8" i="29"/>
  <c r="S6" i="29"/>
  <c r="S7" i="29"/>
  <c r="S8" i="29"/>
  <c r="Q6" i="29"/>
  <c r="Q7" i="29"/>
  <c r="Q8" i="29"/>
  <c r="O6" i="29"/>
  <c r="O7" i="29"/>
  <c r="O8" i="29"/>
  <c r="M6" i="29"/>
  <c r="M7" i="29"/>
  <c r="M8" i="29"/>
  <c r="K6" i="29"/>
  <c r="K7" i="29"/>
  <c r="K8" i="29"/>
  <c r="I6" i="29"/>
  <c r="I7" i="29"/>
  <c r="I8" i="29"/>
  <c r="G8" i="29"/>
  <c r="G7" i="29"/>
  <c r="E8" i="29"/>
  <c r="E7" i="29"/>
  <c r="G6" i="29"/>
  <c r="E6" i="29"/>
  <c r="S8" i="25"/>
  <c r="S5" i="25"/>
  <c r="S7" i="25" s="1"/>
  <c r="Q8" i="25"/>
  <c r="Q7" i="25"/>
  <c r="Q6" i="25"/>
  <c r="S6" i="25" s="1"/>
  <c r="X6" i="22"/>
  <c r="X7" i="22"/>
  <c r="X8" i="22"/>
  <c r="X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33" i="22"/>
  <c r="X34" i="22"/>
  <c r="X35" i="22"/>
  <c r="X36" i="22"/>
  <c r="X37" i="22"/>
  <c r="X39" i="22"/>
  <c r="X41" i="22"/>
  <c r="X42" i="22"/>
  <c r="X43" i="22"/>
  <c r="X44" i="22"/>
  <c r="X45" i="22"/>
  <c r="X46" i="22"/>
  <c r="X47" i="22"/>
  <c r="X64" i="22"/>
  <c r="V85" i="22"/>
  <c r="V84" i="22"/>
  <c r="R84" i="22"/>
  <c r="R85" i="22"/>
  <c r="R65" i="22"/>
  <c r="R82" i="22" s="1"/>
  <c r="P65" i="22"/>
  <c r="P82" i="22" s="1"/>
  <c r="P84" i="22"/>
  <c r="P85" i="22"/>
  <c r="N85" i="22"/>
  <c r="X32" i="22"/>
  <c r="J84" i="22"/>
  <c r="J85" i="22"/>
  <c r="H85" i="22"/>
  <c r="Y66" i="22"/>
  <c r="F68" i="22"/>
  <c r="Y68" i="22" s="1"/>
  <c r="J65" i="22"/>
  <c r="J82" i="22" s="1"/>
  <c r="H65" i="22"/>
  <c r="H82" i="22" s="1"/>
  <c r="F65" i="22"/>
  <c r="S75" i="26"/>
  <c r="S99" i="26" s="1"/>
  <c r="Q75" i="26"/>
  <c r="Q99" i="26" s="1"/>
  <c r="O75" i="26"/>
  <c r="O99" i="26" s="1"/>
  <c r="K75" i="26"/>
  <c r="K99" i="26" s="1"/>
  <c r="I75" i="26"/>
  <c r="I99" i="26" s="1"/>
  <c r="AA75" i="26"/>
  <c r="AA99" i="26" s="1"/>
  <c r="W75" i="26"/>
  <c r="W99" i="26" s="1"/>
  <c r="U85" i="26"/>
  <c r="U101" i="26" s="1"/>
  <c r="U104" i="26" s="1"/>
  <c r="M85" i="26"/>
  <c r="M101" i="26" s="1"/>
  <c r="M104" i="26" s="1"/>
  <c r="W8" i="23" l="1"/>
  <c r="H84" i="22"/>
  <c r="H87" i="22" s="1"/>
  <c r="V87" i="22"/>
  <c r="X6" i="29"/>
  <c r="F82" i="22"/>
  <c r="P87" i="22"/>
  <c r="X31" i="22"/>
  <c r="N65" i="22"/>
  <c r="N84" i="22"/>
  <c r="N87" i="22" s="1"/>
  <c r="Y85" i="22"/>
  <c r="F85" i="22"/>
  <c r="J87" i="22"/>
  <c r="F84" i="22"/>
  <c r="R87" i="22"/>
  <c r="U75" i="26"/>
  <c r="U99" i="26" s="1"/>
  <c r="M75" i="26"/>
  <c r="M99" i="26" s="1"/>
  <c r="Y6" i="29"/>
  <c r="N82" i="22" l="1"/>
  <c r="F87" i="22"/>
  <c r="X66" i="22"/>
  <c r="X84" i="22" s="1"/>
  <c r="Y84" i="22"/>
  <c r="Y87" i="22" s="1"/>
  <c r="X38" i="22"/>
  <c r="X65" i="22" s="1"/>
  <c r="E85" i="26"/>
  <c r="E101" i="26" s="1"/>
  <c r="E104" i="26" s="1"/>
  <c r="E75" i="26"/>
  <c r="E99" i="26" s="1"/>
  <c r="G85" i="26"/>
  <c r="G101" i="26" s="1"/>
  <c r="G104" i="26" s="1"/>
  <c r="G75" i="26"/>
  <c r="G99" i="26" s="1"/>
  <c r="V65" i="22"/>
  <c r="V82" i="22" s="1"/>
  <c r="Y82" i="22" l="1"/>
  <c r="X68" i="22"/>
  <c r="X85" i="22" s="1"/>
  <c r="X87" i="22" s="1"/>
  <c r="X82" i="22"/>
  <c r="Y75" i="26" l="1"/>
  <c r="Y99" i="26" s="1"/>
  <c r="Y86" i="26"/>
  <c r="Y103" i="26" s="1"/>
  <c r="Y104" i="26" s="1"/>
  <c r="U84" i="22"/>
  <c r="U85" i="22"/>
  <c r="AC85" i="26" l="1"/>
  <c r="AC101" i="26" s="1"/>
  <c r="AC86" i="26"/>
  <c r="AC103" i="26" s="1"/>
  <c r="W86" i="22"/>
  <c r="I86" i="22"/>
  <c r="I84" i="22"/>
  <c r="AB97" i="26"/>
  <c r="AE90" i="26"/>
  <c r="AE99" i="26" s="1"/>
  <c r="AC104" i="26" l="1"/>
  <c r="AC99" i="26"/>
  <c r="AB91" i="26"/>
  <c r="T90" i="26"/>
  <c r="G8" i="18"/>
  <c r="F10" i="23" l="1"/>
  <c r="H10" i="23"/>
  <c r="J10" i="23"/>
  <c r="L10" i="23"/>
  <c r="N10" i="23"/>
  <c r="P10" i="23"/>
  <c r="D10" i="23"/>
  <c r="AD101" i="26"/>
  <c r="F96" i="26"/>
  <c r="H96" i="26"/>
  <c r="J96" i="26"/>
  <c r="AD96" i="26"/>
  <c r="D96" i="26"/>
  <c r="M86" i="22"/>
  <c r="O86" i="22"/>
  <c r="Q86" i="22"/>
  <c r="U86" i="22"/>
  <c r="Q79" i="22"/>
  <c r="U79" i="22"/>
  <c r="I69" i="22"/>
  <c r="M69" i="22"/>
  <c r="O69" i="22"/>
  <c r="Q69" i="22"/>
  <c r="U69" i="22"/>
  <c r="R16" i="31"/>
  <c r="N16" i="31"/>
  <c r="L16" i="31"/>
  <c r="J16" i="31"/>
  <c r="H16" i="31"/>
  <c r="F16" i="31"/>
  <c r="D16" i="31"/>
  <c r="R15" i="31"/>
  <c r="N15" i="31"/>
  <c r="L15" i="31"/>
  <c r="J15" i="31"/>
  <c r="H15" i="31"/>
  <c r="F15" i="31"/>
  <c r="D15" i="31"/>
  <c r="R14" i="31"/>
  <c r="N14" i="31"/>
  <c r="L14" i="31"/>
  <c r="J14" i="31"/>
  <c r="H14" i="31"/>
  <c r="F14" i="31"/>
  <c r="D14" i="31"/>
  <c r="T15" i="31"/>
  <c r="T16" i="30"/>
  <c r="R16" i="30"/>
  <c r="P16" i="30"/>
  <c r="N16" i="30"/>
  <c r="L16" i="30"/>
  <c r="J16" i="30"/>
  <c r="H16" i="30"/>
  <c r="F16" i="30"/>
  <c r="D16" i="30"/>
  <c r="T15" i="30"/>
  <c r="R15" i="30"/>
  <c r="P15" i="30"/>
  <c r="N15" i="30"/>
  <c r="L15" i="30"/>
  <c r="J15" i="30"/>
  <c r="H15" i="30"/>
  <c r="F15" i="30"/>
  <c r="D15" i="30"/>
  <c r="T14" i="30"/>
  <c r="R14" i="30"/>
  <c r="P14" i="30"/>
  <c r="N14" i="30"/>
  <c r="L14" i="30"/>
  <c r="J14" i="30"/>
  <c r="V13" i="30"/>
  <c r="V9" i="30"/>
  <c r="V8" i="30"/>
  <c r="V7" i="30"/>
  <c r="V6" i="30"/>
  <c r="V15" i="30" s="1"/>
  <c r="T16" i="31" l="1"/>
  <c r="V16" i="30"/>
  <c r="AB96" i="26"/>
  <c r="T14" i="31"/>
  <c r="V14" i="30"/>
  <c r="Q93" i="22" l="1"/>
  <c r="R86" i="26" l="1"/>
  <c r="R103" i="26" s="1"/>
  <c r="R85" i="26"/>
  <c r="R101" i="26" s="1"/>
  <c r="R75" i="26"/>
  <c r="R99" i="26" s="1"/>
  <c r="G14" i="18"/>
  <c r="F102" i="26" l="1"/>
  <c r="H102" i="26"/>
  <c r="J102" i="26"/>
  <c r="L102" i="26"/>
  <c r="N102" i="26"/>
  <c r="P102" i="26"/>
  <c r="R102" i="26"/>
  <c r="R104" i="26" s="1"/>
  <c r="T102" i="26"/>
  <c r="V102" i="26"/>
  <c r="X102" i="26"/>
  <c r="Z102" i="26"/>
  <c r="G11" i="18" l="1"/>
  <c r="G12" i="18"/>
  <c r="G13" i="18"/>
  <c r="AD102" i="26" l="1"/>
  <c r="H10" i="27"/>
  <c r="J10" i="27"/>
  <c r="L10" i="27"/>
  <c r="N10" i="27"/>
  <c r="P10" i="27"/>
  <c r="R10" i="27"/>
  <c r="T10" i="27"/>
  <c r="F10" i="27"/>
  <c r="D10" i="27"/>
  <c r="D102" i="26"/>
  <c r="G39" i="18"/>
  <c r="G20" i="18"/>
  <c r="G19" i="18"/>
  <c r="G18" i="18"/>
  <c r="G17" i="18"/>
  <c r="G16" i="18"/>
  <c r="G15" i="18"/>
  <c r="G50" i="18" l="1"/>
  <c r="G53" i="18"/>
  <c r="G54" i="18"/>
  <c r="G55" i="18"/>
  <c r="G9" i="20" l="1"/>
  <c r="G8" i="20"/>
  <c r="G45" i="18"/>
  <c r="G49" i="18"/>
  <c r="G41" i="18"/>
  <c r="G44" i="18"/>
  <c r="G56" i="18"/>
  <c r="G57" i="18"/>
  <c r="G58" i="18"/>
  <c r="G59" i="18"/>
  <c r="G15" i="20" l="1"/>
  <c r="G7" i="18"/>
  <c r="G40" i="18" s="1"/>
  <c r="T8" i="29" l="1"/>
  <c r="R8" i="29"/>
  <c r="P8" i="29"/>
  <c r="N8" i="29"/>
  <c r="L8" i="29"/>
  <c r="J8" i="29"/>
  <c r="H8" i="29"/>
  <c r="F8" i="29"/>
  <c r="D8" i="29"/>
  <c r="T7" i="29"/>
  <c r="R7" i="29"/>
  <c r="P7" i="29"/>
  <c r="N7" i="29"/>
  <c r="L7" i="29"/>
  <c r="J7" i="29"/>
  <c r="H7" i="29"/>
  <c r="F7" i="29"/>
  <c r="D7" i="29"/>
  <c r="T6" i="29"/>
  <c r="R6" i="29"/>
  <c r="P6" i="29"/>
  <c r="N6" i="29"/>
  <c r="L6" i="29"/>
  <c r="J6" i="29"/>
  <c r="H6" i="29"/>
  <c r="F6" i="29"/>
  <c r="D6" i="29"/>
  <c r="V8" i="29"/>
  <c r="V5" i="29"/>
  <c r="V7" i="29" s="1"/>
  <c r="T17" i="28"/>
  <c r="R17" i="28"/>
  <c r="P17" i="28"/>
  <c r="N17" i="28"/>
  <c r="L17" i="28"/>
  <c r="J17" i="28"/>
  <c r="F17" i="28"/>
  <c r="D17" i="28"/>
  <c r="T16" i="28"/>
  <c r="R16" i="28"/>
  <c r="P16" i="28"/>
  <c r="N16" i="28"/>
  <c r="L16" i="28"/>
  <c r="J16" i="28"/>
  <c r="H16" i="28"/>
  <c r="F16" i="28"/>
  <c r="D16" i="28"/>
  <c r="T15" i="28"/>
  <c r="R15" i="28"/>
  <c r="P15" i="28"/>
  <c r="N15" i="28"/>
  <c r="L15" i="28"/>
  <c r="J15" i="28"/>
  <c r="F15" i="28"/>
  <c r="D15" i="28"/>
  <c r="V14" i="28"/>
  <c r="V13" i="28"/>
  <c r="V12" i="28"/>
  <c r="V11" i="28"/>
  <c r="X10" i="28"/>
  <c r="V10" i="28"/>
  <c r="V9" i="28"/>
  <c r="V8" i="28"/>
  <c r="V7" i="28"/>
  <c r="V6" i="28"/>
  <c r="V5" i="28"/>
  <c r="T9" i="27"/>
  <c r="R9" i="27"/>
  <c r="P9" i="27"/>
  <c r="N9" i="27"/>
  <c r="L9" i="27"/>
  <c r="J9" i="27"/>
  <c r="H9" i="27"/>
  <c r="F9" i="27"/>
  <c r="T8" i="27"/>
  <c r="R8" i="27"/>
  <c r="P8" i="27"/>
  <c r="N8" i="27"/>
  <c r="L8" i="27"/>
  <c r="J8" i="27"/>
  <c r="H8" i="27"/>
  <c r="F8" i="27"/>
  <c r="V7" i="27"/>
  <c r="X7" i="27" s="1"/>
  <c r="D9" i="27"/>
  <c r="AD93" i="26"/>
  <c r="Z93" i="26"/>
  <c r="X93" i="26"/>
  <c r="V93" i="26"/>
  <c r="T93" i="26"/>
  <c r="P93" i="26"/>
  <c r="N93" i="26"/>
  <c r="L93" i="26"/>
  <c r="J93" i="26"/>
  <c r="H93" i="26"/>
  <c r="F93" i="26"/>
  <c r="D93" i="26"/>
  <c r="AD90" i="26"/>
  <c r="J90" i="26"/>
  <c r="H90" i="26"/>
  <c r="F90" i="26"/>
  <c r="D90" i="26"/>
  <c r="AB102" i="26"/>
  <c r="AD87" i="26"/>
  <c r="Z87" i="26"/>
  <c r="X87" i="26"/>
  <c r="V87" i="26"/>
  <c r="T87" i="26"/>
  <c r="P87" i="26"/>
  <c r="N87" i="26"/>
  <c r="L87" i="26"/>
  <c r="J87" i="26"/>
  <c r="H87" i="26"/>
  <c r="F87" i="26"/>
  <c r="D87" i="26"/>
  <c r="AD86" i="26"/>
  <c r="AD103" i="26" s="1"/>
  <c r="Z86" i="26"/>
  <c r="Z103" i="26" s="1"/>
  <c r="V86" i="26"/>
  <c r="V103" i="26" s="1"/>
  <c r="P86" i="26"/>
  <c r="P103" i="26" s="1"/>
  <c r="N86" i="26"/>
  <c r="N103" i="26" s="1"/>
  <c r="J86" i="26"/>
  <c r="J103" i="26" s="1"/>
  <c r="H86" i="26"/>
  <c r="H103" i="26" s="1"/>
  <c r="F86" i="26"/>
  <c r="F103" i="26" s="1"/>
  <c r="D86" i="26"/>
  <c r="D103" i="26" s="1"/>
  <c r="Z85" i="26"/>
  <c r="Z101" i="26" s="1"/>
  <c r="X85" i="26"/>
  <c r="X101" i="26" s="1"/>
  <c r="V85" i="26"/>
  <c r="V101" i="26" s="1"/>
  <c r="P85" i="26"/>
  <c r="P101" i="26" s="1"/>
  <c r="N85" i="26"/>
  <c r="N101" i="26" s="1"/>
  <c r="H85" i="26"/>
  <c r="H101" i="26" s="1"/>
  <c r="F85" i="26"/>
  <c r="F101" i="26" s="1"/>
  <c r="D85" i="26"/>
  <c r="D101" i="26" s="1"/>
  <c r="AD75" i="26"/>
  <c r="Z75" i="26"/>
  <c r="X75" i="26"/>
  <c r="X99" i="26" s="1"/>
  <c r="V75" i="26"/>
  <c r="T75" i="26"/>
  <c r="P75" i="26"/>
  <c r="N75" i="26"/>
  <c r="N99" i="26" s="1"/>
  <c r="J75" i="26"/>
  <c r="F75" i="26"/>
  <c r="J85" i="26"/>
  <c r="J101" i="26" s="1"/>
  <c r="AI35" i="26"/>
  <c r="L85" i="26"/>
  <c r="L101" i="26" s="1"/>
  <c r="L86" i="26"/>
  <c r="L103" i="26" s="1"/>
  <c r="X86" i="26"/>
  <c r="X103" i="26" s="1"/>
  <c r="T86" i="26"/>
  <c r="T103" i="26" s="1"/>
  <c r="H75" i="26"/>
  <c r="H99" i="26" s="1"/>
  <c r="T85" i="26"/>
  <c r="T101" i="26" s="1"/>
  <c r="P8" i="25"/>
  <c r="N8" i="25"/>
  <c r="L8" i="25"/>
  <c r="J8" i="25"/>
  <c r="H8" i="25"/>
  <c r="F8" i="25"/>
  <c r="D8" i="25"/>
  <c r="P7" i="25"/>
  <c r="N7" i="25"/>
  <c r="L7" i="25"/>
  <c r="J7" i="25"/>
  <c r="H7" i="25"/>
  <c r="F7" i="25"/>
  <c r="D7" i="25"/>
  <c r="P6" i="25"/>
  <c r="N6" i="25"/>
  <c r="L6" i="25"/>
  <c r="J6" i="25"/>
  <c r="H6" i="25"/>
  <c r="F6" i="25"/>
  <c r="D6" i="25"/>
  <c r="R8" i="25"/>
  <c r="R5" i="25"/>
  <c r="R7" i="25" s="1"/>
  <c r="N17" i="24"/>
  <c r="L17" i="24"/>
  <c r="J17" i="24"/>
  <c r="H17" i="24"/>
  <c r="F17" i="24"/>
  <c r="D17" i="24"/>
  <c r="N16" i="24"/>
  <c r="L16" i="24"/>
  <c r="J16" i="24"/>
  <c r="H16" i="24"/>
  <c r="F16" i="24"/>
  <c r="D16" i="24"/>
  <c r="N15" i="24"/>
  <c r="L15" i="24"/>
  <c r="J15" i="24"/>
  <c r="H15" i="24"/>
  <c r="F15" i="24"/>
  <c r="D15" i="24"/>
  <c r="T14" i="24"/>
  <c r="T13" i="24"/>
  <c r="T12" i="24"/>
  <c r="T11" i="24"/>
  <c r="P16" i="24"/>
  <c r="T9" i="24"/>
  <c r="T8" i="24"/>
  <c r="T7" i="24"/>
  <c r="P17" i="24"/>
  <c r="T6" i="24"/>
  <c r="T5" i="24"/>
  <c r="N9" i="23"/>
  <c r="L9" i="23"/>
  <c r="J9" i="23"/>
  <c r="H9" i="23"/>
  <c r="F9" i="23"/>
  <c r="D9" i="23"/>
  <c r="N8" i="23"/>
  <c r="L8" i="23"/>
  <c r="J8" i="23"/>
  <c r="H8" i="23"/>
  <c r="F8" i="23"/>
  <c r="D8" i="23"/>
  <c r="V7" i="23"/>
  <c r="P9" i="23"/>
  <c r="T10" i="23"/>
  <c r="X17" i="28" l="1"/>
  <c r="X15" i="28"/>
  <c r="R6" i="25"/>
  <c r="T17" i="24"/>
  <c r="T99" i="26"/>
  <c r="X9" i="27"/>
  <c r="P99" i="26"/>
  <c r="V99" i="26"/>
  <c r="Z99" i="26"/>
  <c r="J99" i="26"/>
  <c r="AD99" i="26"/>
  <c r="F99" i="26"/>
  <c r="D99" i="26"/>
  <c r="F104" i="26"/>
  <c r="AD104" i="26"/>
  <c r="V16" i="28"/>
  <c r="AB90" i="26"/>
  <c r="H104" i="26"/>
  <c r="AB93" i="26"/>
  <c r="J104" i="26"/>
  <c r="Z104" i="26"/>
  <c r="T104" i="26"/>
  <c r="D104" i="26"/>
  <c r="L104" i="26"/>
  <c r="P104" i="26"/>
  <c r="T16" i="24"/>
  <c r="V6" i="29"/>
  <c r="V17" i="28"/>
  <c r="H15" i="28"/>
  <c r="H17" i="28"/>
  <c r="V15" i="28"/>
  <c r="V5" i="27"/>
  <c r="D8" i="27"/>
  <c r="N104" i="26"/>
  <c r="V104" i="26"/>
  <c r="X104" i="26"/>
  <c r="L75" i="26"/>
  <c r="L99" i="26" s="1"/>
  <c r="T15" i="24"/>
  <c r="T7" i="23"/>
  <c r="T9" i="23" s="1"/>
  <c r="P8" i="23"/>
  <c r="AD105" i="26" l="1"/>
  <c r="V10" i="27"/>
  <c r="X5" i="27"/>
  <c r="AB99" i="26"/>
  <c r="T8" i="23"/>
  <c r="AB85" i="26"/>
  <c r="AB101" i="26" s="1"/>
  <c r="AB86" i="26"/>
  <c r="AB103" i="26" s="1"/>
  <c r="V9" i="27"/>
  <c r="V8" i="27"/>
  <c r="X10" i="27" l="1"/>
  <c r="X8" i="27"/>
  <c r="AB104" i="26"/>
  <c r="W76" i="22"/>
  <c r="U76" i="22"/>
  <c r="Q76" i="22"/>
  <c r="O76" i="22"/>
  <c r="M76" i="22"/>
  <c r="I76" i="22"/>
  <c r="W73" i="22"/>
  <c r="U73" i="22"/>
  <c r="Q73" i="22"/>
  <c r="O73" i="22"/>
  <c r="M73" i="22"/>
  <c r="I73" i="22"/>
  <c r="W69" i="22"/>
  <c r="Q85" i="22"/>
  <c r="O85" i="22"/>
  <c r="M85" i="22"/>
  <c r="I68" i="22"/>
  <c r="W68" i="22" s="1"/>
  <c r="U65" i="22"/>
  <c r="Q65" i="22"/>
  <c r="O65" i="22"/>
  <c r="M65" i="22"/>
  <c r="I65" i="22"/>
  <c r="I85" i="22" l="1"/>
  <c r="I87" i="22" s="1"/>
  <c r="W85" i="22"/>
  <c r="W87" i="22" s="1"/>
  <c r="I82" i="22"/>
  <c r="O82" i="22"/>
  <c r="U82" i="22"/>
  <c r="M82" i="22"/>
  <c r="Q82" i="22"/>
  <c r="W82" i="22"/>
  <c r="O84" i="22"/>
  <c r="O87" i="22" s="1"/>
  <c r="Q84" i="22"/>
  <c r="Q87" i="22" s="1"/>
  <c r="U87" i="22"/>
  <c r="M84" i="22"/>
  <c r="M87" i="22" s="1"/>
  <c r="C92" i="5" l="1"/>
  <c r="C91" i="6"/>
  <c r="C92" i="6" l="1"/>
  <c r="C91" i="5"/>
  <c r="D92" i="1"/>
  <c r="C92" i="4"/>
  <c r="D91" i="1"/>
</calcChain>
</file>

<file path=xl/sharedStrings.xml><?xml version="1.0" encoding="utf-8"?>
<sst xmlns="http://schemas.openxmlformats.org/spreadsheetml/2006/main" count="1846" uniqueCount="545">
  <si>
    <t>Medgyesegyháza Városi Önkormányzat</t>
  </si>
  <si>
    <t>BEVÉTELEK</t>
  </si>
  <si>
    <t>Bevételi jogcímek</t>
  </si>
  <si>
    <t>1.</t>
  </si>
  <si>
    <t>Sor-
szám</t>
  </si>
  <si>
    <t>2.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</si>
  <si>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</si>
  <si>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</si>
  <si>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</si>
  <si>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</si>
  <si>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</si>
  <si>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</si>
  <si>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</si>
  <si>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</si>
  <si>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</si>
  <si>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</t>
  </si>
  <si>
    <t>Önkormányzatok működési támogatásai (1.1+……+1.6.)</t>
  </si>
  <si>
    <t>3.1.</t>
  </si>
  <si>
    <t>3.2.</t>
  </si>
  <si>
    <t>3.3.</t>
  </si>
  <si>
    <t>4.</t>
  </si>
  <si>
    <t>Közhatalmi bevételek (4.1+4.2.+4.3.+4.4.)</t>
  </si>
  <si>
    <t>4.1.</t>
  </si>
  <si>
    <t>4.1.1.</t>
  </si>
  <si>
    <t>4.1.2.</t>
  </si>
  <si>
    <t>4.1.3.</t>
  </si>
  <si>
    <t>4.2.</t>
  </si>
  <si>
    <t>4.3.</t>
  </si>
  <si>
    <t>4.4.</t>
  </si>
  <si>
    <t>5.</t>
  </si>
  <si>
    <t>Helyi önkormányzatok működésének általános támogatása</t>
  </si>
  <si>
    <t>Önkormányzatok egyes köznevelési feladatainak támogatása</t>
  </si>
  <si>
    <t>Önkormányzatok szociális és gyermjóléti feladatainak támogatása</t>
  </si>
  <si>
    <t>Önkormányzatok kulturális feladatainak támogatása</t>
  </si>
  <si>
    <t>Működési célú költségvetési támogatások és kiegészítő támogatások</t>
  </si>
  <si>
    <t>Elszámolásból származő bevételek</t>
  </si>
  <si>
    <t>Elvonások és befizetések bevételei</t>
  </si>
  <si>
    <t>Egyéb működési célú támogatások bevételei</t>
  </si>
  <si>
    <t>2.2.-ből EU-s támogatás</t>
  </si>
  <si>
    <t>Működési célú támogatások ÁHT-n belülről (2.1+2.2.)</t>
  </si>
  <si>
    <t>Felhalmozási célú önkormányzati támogatások</t>
  </si>
  <si>
    <t>Egyéb felhalmozási célú támogatások</t>
  </si>
  <si>
    <t>3.2.-ből EU-s támogatás</t>
  </si>
  <si>
    <t>Felhalmozási célú támogatások ÁHT-n belülről (3.1.+3.2.)</t>
  </si>
  <si>
    <t>Helyi adók (4.1.1.+….+4.1.3)</t>
  </si>
  <si>
    <t>Vagyoni típusú adók</t>
  </si>
  <si>
    <t>Értékesítési és forgalmi adók (iparűzési adó)</t>
  </si>
  <si>
    <t>Gépjárműadó</t>
  </si>
  <si>
    <t>Egyéb áruhasználati és szolgáltatási adók</t>
  </si>
  <si>
    <t>Egyéb közhatalmi bevételek</t>
  </si>
  <si>
    <t xml:space="preserve">Működési bevételek </t>
  </si>
  <si>
    <t>6.</t>
  </si>
  <si>
    <t>Felhalmozási bevételek</t>
  </si>
  <si>
    <t>7.</t>
  </si>
  <si>
    <t>Működési célő átvett pénzeszközök</t>
  </si>
  <si>
    <t>8.</t>
  </si>
  <si>
    <t>Felhalmozási célú átvett pénzeszközök</t>
  </si>
  <si>
    <t>9.</t>
  </si>
  <si>
    <t>10.</t>
  </si>
  <si>
    <t>Hitel-, kölcsönfelévtel államháztartáson kívülről (10.1+…+10.3</t>
  </si>
  <si>
    <t>10.1.</t>
  </si>
  <si>
    <t>Hosszú lejűratú hitelek, kölcsönök felvétele</t>
  </si>
  <si>
    <t>10.2.</t>
  </si>
  <si>
    <t>Likviditási célú hitelek, kölcsönök felvétele pénzügyi vállalkozástól</t>
  </si>
  <si>
    <t>10.3.</t>
  </si>
  <si>
    <t>Rövid lejáratú hitelek, kölcsönök felvétele</t>
  </si>
  <si>
    <t>11.</t>
  </si>
  <si>
    <t>Belföldi értékpapírok bevételei</t>
  </si>
  <si>
    <t>12.</t>
  </si>
  <si>
    <t>Előző évi költségvetési maradvány igánybe vétele</t>
  </si>
  <si>
    <t>13.</t>
  </si>
  <si>
    <t>Belföldi finanszírozás bevételei (13.1.+13.2.)</t>
  </si>
  <si>
    <t>13.1.</t>
  </si>
  <si>
    <t>Államháztartáson belüli megelőlegezések</t>
  </si>
  <si>
    <t>13.2.</t>
  </si>
  <si>
    <t>Államháztartáson belüli megelőlegezések törlesztése</t>
  </si>
  <si>
    <t>14.</t>
  </si>
  <si>
    <t>Külföldi finanszírozás bevételei</t>
  </si>
  <si>
    <t>15.</t>
  </si>
  <si>
    <t>Váltóbevételek</t>
  </si>
  <si>
    <t xml:space="preserve">16. </t>
  </si>
  <si>
    <t>Adóssághoz nem kapcsolódó származékos ügyletek bevételei</t>
  </si>
  <si>
    <t>17.</t>
  </si>
  <si>
    <t>FINANSZÍROZÁSI BEVÉTELEK ÖSSZESEN:(10.+…+16.)</t>
  </si>
  <si>
    <t>18.</t>
  </si>
  <si>
    <t>KÖLTSÉGVETÉSI ÉS FINANSZÍROZÁSI BEVÉTELEK
ÖSSZESEN: (9.+17.)</t>
  </si>
  <si>
    <t>1.  számú táblázat</t>
  </si>
  <si>
    <t>KIADÁSOK</t>
  </si>
  <si>
    <t>2. számú táblázat</t>
  </si>
  <si>
    <t>Kiadási jogcímek</t>
  </si>
  <si>
    <t>Személyi juttatások</t>
  </si>
  <si>
    <t>Munkaadókat terhelő járulékok és szochó</t>
  </si>
  <si>
    <t>Dologi kiadások</t>
  </si>
  <si>
    <t>Ellátottak pénzbeli juttatásai</t>
  </si>
  <si>
    <t>Egyéb működési célú kiadások</t>
  </si>
  <si>
    <t>1.5.-ből Előző évi elszámolásből származó befizetések</t>
  </si>
  <si>
    <t>1.7.</t>
  </si>
  <si>
    <t>1.8.</t>
  </si>
  <si>
    <t>1.9.</t>
  </si>
  <si>
    <t>1.10.</t>
  </si>
  <si>
    <t>1.11.</t>
  </si>
  <si>
    <t>Tartalékok</t>
  </si>
  <si>
    <t xml:space="preserve">             Törvényi előírásokon alapuló befizetések</t>
  </si>
  <si>
    <t>1.12.</t>
  </si>
  <si>
    <t>1.11.-ből: Általános tartalék</t>
  </si>
  <si>
    <t>1.13.</t>
  </si>
  <si>
    <t xml:space="preserve">                 Céltartalék</t>
  </si>
  <si>
    <t>Működési költségvetés kiadásai (1.1.+…+1.5.+1.11.)</t>
  </si>
  <si>
    <t>Beruházások</t>
  </si>
  <si>
    <t>2.2</t>
  </si>
  <si>
    <t>2.1.-ből EU-s forrásból megvalósuló beruházás</t>
  </si>
  <si>
    <t>Felújítások</t>
  </si>
  <si>
    <t>2.4.</t>
  </si>
  <si>
    <t>2.3.-ból EU-s forrásból megvalósuló felújítás</t>
  </si>
  <si>
    <t>2.5.</t>
  </si>
  <si>
    <t>Egyéb felhalmozási kiadások</t>
  </si>
  <si>
    <t>2.6.</t>
  </si>
  <si>
    <t>2.5.-ből Egyéb felhalmozási kiadás ÁHT-n belülre</t>
  </si>
  <si>
    <t>2.7.</t>
  </si>
  <si>
    <t xml:space="preserve">              Egyéb felhalmozási kiadás ÁHT-n kívülre</t>
  </si>
  <si>
    <t>Felhalmozási költségvetési kiadások (2.1.+2.3.+2.5.)</t>
  </si>
  <si>
    <t>KÖLTSÉGVETÉSI KIADÁSOK ÖSSZESEN: (1.+2.)</t>
  </si>
  <si>
    <t>Hosszú lejáratú hitelek, kölcsönök törlesztése pü vállalkozásoknak</t>
  </si>
  <si>
    <t>Likviditási célú hitelek, kölcsönök törlesztése pü vállalkozásoknak</t>
  </si>
  <si>
    <t>Rövid lejáratú hitelek, kölcsönök törlesztése pü vállalkozásoknak</t>
  </si>
  <si>
    <t>Hitel-, kölcsöntörlesztés államháztartáson kívülre (4.1.+…+4.3.)</t>
  </si>
  <si>
    <t>Belföldi értékpapírok vásárlásai</t>
  </si>
  <si>
    <t>6.1.</t>
  </si>
  <si>
    <t>Államháztartáson belüli megelőlegezések visszafizetése</t>
  </si>
  <si>
    <t>Belföldi finanszírozás kiadásai (=6.1.)</t>
  </si>
  <si>
    <t>Külföldi finanszírozás kiadásai</t>
  </si>
  <si>
    <t>Adóssághoz nem kapcsolódó származékos  ügyletek</t>
  </si>
  <si>
    <t xml:space="preserve">9. </t>
  </si>
  <si>
    <t>Váltókiadások</t>
  </si>
  <si>
    <t>FINANSZÍROZÁSI KIADÁSOK ÖSSZESEN: (4.+…+9.)</t>
  </si>
  <si>
    <t>KIADÁSOK ÖSSZESEN: (3+10)</t>
  </si>
  <si>
    <t>KÖLTSÉGVETÉSI BEVÉTELEK ÖSSZESEN: (1+…+8)</t>
  </si>
  <si>
    <t xml:space="preserve">             Elvonások befizetések</t>
  </si>
  <si>
    <t xml:space="preserve">             Egyéb működési célú támogatások ÁHT-n belülre</t>
  </si>
  <si>
    <t xml:space="preserve">             Egyéb működési célú támogatások ÁHT-n kívülre</t>
  </si>
  <si>
    <t>KÖLTSÉGVETÉSI, FINANSZÍROZOZÁSI BEVÉTELEK ÉS KIADÁSOK EGYENLEGE</t>
  </si>
  <si>
    <t>3. számú táblázat</t>
  </si>
  <si>
    <t>Költségvetési hiány, többlet (költségvetési bevételek 9. sor -
 költségvetési kiadások 3. sor) (+/-)</t>
  </si>
  <si>
    <t>Finanszírozási bevételek kiadások egyenlege (finanszírozási bevételek 17. sor - finanszírozási kiadások 10. sor) (+/-)</t>
  </si>
  <si>
    <t>I. Működési bevételek és kiadások mérlege</t>
  </si>
  <si>
    <t>(önkormányzati szinten)</t>
  </si>
  <si>
    <t>Bevétel</t>
  </si>
  <si>
    <t>Kiadás</t>
  </si>
  <si>
    <t>A</t>
  </si>
  <si>
    <t>C</t>
  </si>
  <si>
    <t>D</t>
  </si>
  <si>
    <t>E</t>
  </si>
  <si>
    <t>Önkormányzatok működési támogatásai</t>
  </si>
  <si>
    <t>Működési célú támogatások ÁHT-n belülről</t>
  </si>
  <si>
    <t>Munkaadókat terhelő járulékok és SZOCHÓ</t>
  </si>
  <si>
    <t>16.</t>
  </si>
  <si>
    <t>2.-ből EU-s támogatás</t>
  </si>
  <si>
    <t>Dologi Kiadások</t>
  </si>
  <si>
    <t>Közhatalmi bevételek</t>
  </si>
  <si>
    <t>Működési bevételek</t>
  </si>
  <si>
    <t>Működési célú átvett pénzeszközök</t>
  </si>
  <si>
    <t>6.-ból EU-s támogatás (közvetlen)</t>
  </si>
  <si>
    <t>Költségvetési bevételek összesen: (1.+…+6.)</t>
  </si>
  <si>
    <t>Költségvetési kiadások összesen: (1.+…+6)</t>
  </si>
  <si>
    <t>Költségvetési maradvány igénybe vétele</t>
  </si>
  <si>
    <t>Likviditási célú hitelek, kölcsönök felvétele</t>
  </si>
  <si>
    <t>Hiány belső finanszírozásának bevételei (=10)</t>
  </si>
  <si>
    <t>Hiány külső finanszírozásának bevételei (=12)</t>
  </si>
  <si>
    <t>Működési célú finanszírozási bevételek összesen: (9.+11.)</t>
  </si>
  <si>
    <t>BEVÉTELEK ÖSSZESEN: (8.+13.)</t>
  </si>
  <si>
    <t>Likviditási célú hitelek törlesztése</t>
  </si>
  <si>
    <t>B</t>
  </si>
  <si>
    <t>KIADÁSOK ÖSSZESEN: (8.+13.)</t>
  </si>
  <si>
    <t>Költségvetési többlet:</t>
  </si>
  <si>
    <t>Költségvetési hiány:</t>
  </si>
  <si>
    <t>Tárgyévi hiány:</t>
  </si>
  <si>
    <t>Tárgyévi többlet:</t>
  </si>
  <si>
    <t>I .Felhalmozási célú bevételek és kiadások mérlege</t>
  </si>
  <si>
    <t xml:space="preserve">Felhalmozási célú támogatások ÁHT-n belülről </t>
  </si>
  <si>
    <t>1.-ből EU-s támogatás</t>
  </si>
  <si>
    <t>Felhalmozási célú átvett pénzeszközök átvétele</t>
  </si>
  <si>
    <t xml:space="preserve">4.-ből EU-s támogatás </t>
  </si>
  <si>
    <t>Egyéb felhalmozási célú bevételek</t>
  </si>
  <si>
    <t>3.-ból EU-s forrásból megvalósuló felújítás</t>
  </si>
  <si>
    <t>Költségvetési bevételek összesen: (1.+3.+4.+6.)</t>
  </si>
  <si>
    <t>Hitelek, kölcsönök felvétele</t>
  </si>
  <si>
    <t>Hitelek törlesztése</t>
  </si>
  <si>
    <t>Felhalmozási célú finanszírozási bevételek összesen: (9.+11.)</t>
  </si>
  <si>
    <t>Felhalmozási célú finanszírozási kiadások összesen: (9.+…+12)</t>
  </si>
  <si>
    <t>Megnevezés</t>
  </si>
  <si>
    <t>F</t>
  </si>
  <si>
    <t>Beruházási (felhalmozási) kiadások előírányzata beruházásonként</t>
  </si>
  <si>
    <t>Beruházás megnevezése</t>
  </si>
  <si>
    <t>Teljes költség</t>
  </si>
  <si>
    <t>Kivitelezés kezdési 
és befejezési éve</t>
  </si>
  <si>
    <t>Összesen:</t>
  </si>
  <si>
    <t>Felújítási kiadások előírányzata felújításonként</t>
  </si>
  <si>
    <t>Felújítás megnevezése</t>
  </si>
  <si>
    <t>G</t>
  </si>
  <si>
    <t>H</t>
  </si>
  <si>
    <t>I</t>
  </si>
  <si>
    <t>J</t>
  </si>
  <si>
    <t>kötelező/nem kötelező</t>
  </si>
  <si>
    <t>Kiemelt előirányzatok</t>
  </si>
  <si>
    <t>Önkormányzatok működési támogatása</t>
  </si>
  <si>
    <t>Működési célú támogatások államháztartáson belülről</t>
  </si>
  <si>
    <t>Felhalmozási célú támogatások államháztartáson belülről</t>
  </si>
  <si>
    <t>Működési célra átvett pénzeszközök</t>
  </si>
  <si>
    <t>Finansízrozási bevételek</t>
  </si>
  <si>
    <t>Bevételek összesen</t>
  </si>
  <si>
    <t>2014. évi teljesítés</t>
  </si>
  <si>
    <t>kötelező</t>
  </si>
  <si>
    <t>Gépjárműadó 40 %</t>
  </si>
  <si>
    <t>Talajterhelési díj</t>
  </si>
  <si>
    <t>Idegenforgalmi adó</t>
  </si>
  <si>
    <t>nem kötelező</t>
  </si>
  <si>
    <t>Önkormányzati hivatal működésének támogatása</t>
  </si>
  <si>
    <t>Zöldterület-gazdálkodással kapcsolatos feladatok ellátásának támogatása</t>
  </si>
  <si>
    <t>Közvilágítás fenntartásának támogatása</t>
  </si>
  <si>
    <t>Közutak fenntartásának támogatása</t>
  </si>
  <si>
    <t>Nem közművel összegyűjtött háztartási szennyvíz ártalmatlanítása</t>
  </si>
  <si>
    <t>Üdülőhelyi feladatok támogatása</t>
  </si>
  <si>
    <t>Óvodaműködtetési támogatás</t>
  </si>
  <si>
    <t>Települési önkormányzatok szociális feladatainak egyéb támogatása</t>
  </si>
  <si>
    <t>Gyermekétkeztetés támogatása</t>
  </si>
  <si>
    <t>Egyes szociális és gyermekjóléti feladatok támogatása</t>
  </si>
  <si>
    <t>Települési önkormányzatok kulturális feladatainak támogatása</t>
  </si>
  <si>
    <t>Pénzeszköz átvétel munkaügyi Központtól START programra (értékteremtő)</t>
  </si>
  <si>
    <t>Pénzeszköz átvétel munkaügyi Központtól hosszabb távú közfoglalkoztatásra</t>
  </si>
  <si>
    <t>Pénzeszköz átvétel OEP-től</t>
  </si>
  <si>
    <t xml:space="preserve">Pénzeszköz  átvétel Pusztaottlaka önkormányzatától </t>
  </si>
  <si>
    <t xml:space="preserve">Önkormányzat bérbeadás, város és községgazdálkodás m.n.s. szolg. </t>
  </si>
  <si>
    <t>Startmunka program bevétele</t>
  </si>
  <si>
    <t>Óvodai étkeztetés</t>
  </si>
  <si>
    <t>Iskolai étkeztetés</t>
  </si>
  <si>
    <t>Alaptevékenység bevételei összesen</t>
  </si>
  <si>
    <t>Kötelező feladatok:</t>
  </si>
  <si>
    <t>Nem kötelező:</t>
  </si>
  <si>
    <t>Kötelező</t>
  </si>
  <si>
    <t>Nem kötelező</t>
  </si>
  <si>
    <t>Varázserdő Óvoda Medgyesegyháza</t>
  </si>
  <si>
    <t>Gondozási Központ Medgyesegyháza</t>
  </si>
  <si>
    <t>Összesen</t>
  </si>
  <si>
    <t>Kötelező mindösszesen:</t>
  </si>
  <si>
    <t>Nem kötelező mindösszesen:</t>
  </si>
  <si>
    <t>Mindösszesen:</t>
  </si>
  <si>
    <t>START</t>
  </si>
  <si>
    <t>Rövidszámla</t>
  </si>
  <si>
    <t>Felhalmozási célra átvett pénzeszközök</t>
  </si>
  <si>
    <t xml:space="preserve"> Finanszírozási bevételek - Támogatás működésre</t>
  </si>
  <si>
    <t>Szakfeladat</t>
  </si>
  <si>
    <t>Önkormányzati igazgatási tevékenység</t>
  </si>
  <si>
    <t>Alaptevékenység összesen</t>
  </si>
  <si>
    <t>Kötelező:</t>
  </si>
  <si>
    <t>L</t>
  </si>
  <si>
    <t>N</t>
  </si>
  <si>
    <t>P</t>
  </si>
  <si>
    <t>Kötelező/nem kötelező</t>
  </si>
  <si>
    <t>Háziorvosi alapellátás</t>
  </si>
  <si>
    <t>Fogorvosi alapellátás</t>
  </si>
  <si>
    <t>Egészségügyi labor</t>
  </si>
  <si>
    <t>Család és nővédelmi eü. gondozás</t>
  </si>
  <si>
    <t>Ifjúsági- egészségügyi gondozás</t>
  </si>
  <si>
    <t xml:space="preserve">Időskorúak bentlakásos szoc. ell. </t>
  </si>
  <si>
    <t>Idősek nappali ellátása</t>
  </si>
  <si>
    <t>Szociális étkeztetés</t>
  </si>
  <si>
    <t>Házi segítségnyújtás</t>
  </si>
  <si>
    <t>Óvodai nevelés, ellátás</t>
  </si>
  <si>
    <t xml:space="preserve"> </t>
  </si>
  <si>
    <t>K</t>
  </si>
  <si>
    <t>Szociális hozzájárulási adó</t>
  </si>
  <si>
    <t>Önkormányzat által folyósított ellátások</t>
  </si>
  <si>
    <t>Egyéb működési célú kiadások ÁH-n kívülre</t>
  </si>
  <si>
    <t>Egyéb működési célú kiadás ÁH-n belülre</t>
  </si>
  <si>
    <t>Tartalék</t>
  </si>
  <si>
    <t>Finanszírozási kiadások</t>
  </si>
  <si>
    <t>Finanszírozási kiadás Ktgvetési szerveknek</t>
  </si>
  <si>
    <t>Kiadások összesen</t>
  </si>
  <si>
    <t>Szakfeladat/Feladat</t>
  </si>
  <si>
    <t>Polgármesteri keret</t>
  </si>
  <si>
    <t>Lakóingatlanok bérbe adása</t>
  </si>
  <si>
    <t>Egyéb ösztöndíj</t>
  </si>
  <si>
    <t>Köztemetés</t>
  </si>
  <si>
    <t>Civil szervezetek működési támogatása</t>
  </si>
  <si>
    <t>Startmunka mintaprogram</t>
  </si>
  <si>
    <t>Önkormányzat üzemeltetési feladatok város-és községgazdálkodás feladatból</t>
  </si>
  <si>
    <t xml:space="preserve">Háziorvosi feladatok </t>
  </si>
  <si>
    <t>Óvodai gyermekétkeztetés</t>
  </si>
  <si>
    <t>Iskolai gyermekétkeztetés</t>
  </si>
  <si>
    <t>Kötelező/ nem kötelező</t>
  </si>
  <si>
    <t>Finanszíroszási kiadások</t>
  </si>
  <si>
    <t>Engedélyezett létszám</t>
  </si>
  <si>
    <t>ebből: közfoglalkoztatott:</t>
  </si>
  <si>
    <t>Időskorúak bentlakásos szoc. ell.</t>
  </si>
  <si>
    <t xml:space="preserve">Engedélyezett létszám </t>
  </si>
  <si>
    <t xml:space="preserve">Engedélyezett létszám           </t>
  </si>
  <si>
    <t>Önkormányzat</t>
  </si>
  <si>
    <t>Kiegészító támogatás az óvodaped minősítéséből adódó többletkiadáshoz</t>
  </si>
  <si>
    <t>Gondozási Központ</t>
  </si>
  <si>
    <t>Önkormányzat összesen:</t>
  </si>
  <si>
    <t>Gondozási Központ összesen:</t>
  </si>
  <si>
    <t>Óvoda</t>
  </si>
  <si>
    <t>Óvoda összesen:</t>
  </si>
  <si>
    <t>Céltartalék</t>
  </si>
  <si>
    <t>MINDÖSSZESEN:</t>
  </si>
  <si>
    <t>Államigazgatási feladatok</t>
  </si>
  <si>
    <t>Államigazgatási</t>
  </si>
  <si>
    <t>Általános tartalék</t>
  </si>
  <si>
    <t>Köztemető fenntartás</t>
  </si>
  <si>
    <t>Szünidei gyermekétkeztetés</t>
  </si>
  <si>
    <t>Egyéb működési célú kiadások Áht-n kívülre</t>
  </si>
  <si>
    <t>államigazg</t>
  </si>
  <si>
    <t>Bankszámlák egyenlege</t>
  </si>
  <si>
    <t>Államigazgatási:</t>
  </si>
  <si>
    <t>államigazgatási</t>
  </si>
  <si>
    <t>Medgyesegyházi Polgármesteri Hivatal</t>
  </si>
  <si>
    <t>Önkormányzatok szociális és gyermekjóléti feladatainak támogatása</t>
  </si>
  <si>
    <t>Felhamozási céltartalék</t>
  </si>
  <si>
    <t>Költségvetési kiadások összesen: (1.+3.+5.+6.)</t>
  </si>
  <si>
    <t>Működési célú finanszírozási kiadások összesen: (=9.)</t>
  </si>
  <si>
    <t>Lakott külterülettel kapcsolatos feladatok támogatása</t>
  </si>
  <si>
    <t>Óvodapedagógusok bértámogatása</t>
  </si>
  <si>
    <t>Képviselő-testület kiadásai</t>
  </si>
  <si>
    <t>Medgyesegyházi Településüzemeltetési Kft. Támogatása</t>
  </si>
  <si>
    <t>Közkifolyók kiadásai</t>
  </si>
  <si>
    <t xml:space="preserve">Tagdíjak: DAREH, Kertészek akciócsoport, </t>
  </si>
  <si>
    <t>Kistérségi társulásnak fizetendő díjak: ügyelet, belső ellenőrzés, tagdíj</t>
  </si>
  <si>
    <t>Költségvetési maradvány</t>
  </si>
  <si>
    <t>Állami támogatások és megelőlegezések  visszafizetése</t>
  </si>
  <si>
    <t>Bursa Hungarica ösztöndíj</t>
  </si>
  <si>
    <t>Hulladéklerakó rekultiválás</t>
  </si>
  <si>
    <t>Gyógyszertámogatás</t>
  </si>
  <si>
    <t xml:space="preserve">TOP-5.2-1-15-BS1 Társadalmi együttműködés erősítését szolgáló helyi szintű </t>
  </si>
  <si>
    <t>TOP-2.1.2-15-BS1 Zöld város kialakítása</t>
  </si>
  <si>
    <t>TOP-1.4.1-15-BS1 Foglalkoztatás és életminőség javítása családbarát munkába….</t>
  </si>
  <si>
    <t>TOP-4.3.1-15-BS1 Leromlot városi területek rehabilitációja</t>
  </si>
  <si>
    <t>TOP-4.1.1-15-BS1 Egészségügyi ellátás infrastukturális fejlesztése</t>
  </si>
  <si>
    <t>Startmunka összesen:</t>
  </si>
  <si>
    <t>forintban</t>
  </si>
  <si>
    <t>Művelődési Ház és Könyvtár</t>
  </si>
  <si>
    <t>Schéner Ház</t>
  </si>
  <si>
    <t>Medgyesi Hírlap</t>
  </si>
  <si>
    <t>Medgyesi Napok</t>
  </si>
  <si>
    <t>Dinnyefesztivál</t>
  </si>
  <si>
    <t>Államigazgatási mindösszesen:</t>
  </si>
  <si>
    <t>Család és gyermekjóléti szolgáltatás</t>
  </si>
  <si>
    <t>TOP pályázatok</t>
  </si>
  <si>
    <t>Egyéb Felhalmozási célú kiadás ÁH-n kívülre</t>
  </si>
  <si>
    <t>Egyéb Felhalmozási célú kiadás ÁH-n belülre</t>
  </si>
  <si>
    <t>Önkormányzat létszáma</t>
  </si>
  <si>
    <t>Polgármester</t>
  </si>
  <si>
    <t>Képviselő</t>
  </si>
  <si>
    <t>Külsős bizottsági tag</t>
  </si>
  <si>
    <t>Közmunkaprogramban részt vevő</t>
  </si>
  <si>
    <t>Elszámolásból származó bevételek</t>
  </si>
  <si>
    <t>Engedélyezett létszámkeret</t>
  </si>
  <si>
    <t>1 fő polgármester</t>
  </si>
  <si>
    <t>Medgyesegyháza Polgármesteri Hivatal</t>
  </si>
  <si>
    <t>Medgyesegyháza Városi Gondozási Központ</t>
  </si>
  <si>
    <t>Medgyesegyházi Varázserdő Óvoda</t>
  </si>
  <si>
    <t>23 fő közalkalmazott</t>
  </si>
  <si>
    <t>Medgyesegyháza Városi Művelődési Ház és Könyvtár</t>
  </si>
  <si>
    <t>4 fő közalkalmazott</t>
  </si>
  <si>
    <t>16 fő köztisztviselő</t>
  </si>
  <si>
    <t>1 fő alpolgármester</t>
  </si>
  <si>
    <t>5 fő képviselő</t>
  </si>
  <si>
    <t>1.5.-ből Előző évi elszámolásból származó befizetések</t>
  </si>
  <si>
    <t>Pótlékok</t>
  </si>
  <si>
    <t>Bírságok</t>
  </si>
  <si>
    <t>Polgármesteri illetmény támogatása</t>
  </si>
  <si>
    <t>Rászoruló gyermekek szünidei étkeztetésének támogatása</t>
  </si>
  <si>
    <t>VP6-7.2.1-7.4.1.2-16 Külterületi helyi utak fejlesztése</t>
  </si>
  <si>
    <t>VP6-7.2.1-7.4.1.3-17 Helyi termékértékesítést szolgáló piacok infrastukt. fejleszt.</t>
  </si>
  <si>
    <t>Önkormányzatok felhalmozási támogatása</t>
  </si>
  <si>
    <t>Lakhatási támogatás</t>
  </si>
  <si>
    <t>Krízissegély</t>
  </si>
  <si>
    <t>Temetési segély</t>
  </si>
  <si>
    <t>Hulladékszállítási díjkedvezmény</t>
  </si>
  <si>
    <t>Tüzelőanyag természetbeni juttatása</t>
  </si>
  <si>
    <t>Település arculati kézikönyv</t>
  </si>
  <si>
    <t xml:space="preserve">Szennyvíz- és ivóvízhálózat gördülő tervezés miatti kiadásai </t>
  </si>
  <si>
    <t>Szennyvízszippantás 100 Ft/m3</t>
  </si>
  <si>
    <t>Dinnyefesztivál önkományzati kiadásai</t>
  </si>
  <si>
    <t>Művelődési Ház részére bevétel átadás</t>
  </si>
  <si>
    <t>Egyéb rendezvények</t>
  </si>
  <si>
    <t>EFOP-129 Pályázat</t>
  </si>
  <si>
    <t>Országgyűlési választás</t>
  </si>
  <si>
    <t>Polgármesteri Hivatal</t>
  </si>
  <si>
    <t>Művelődési Ház és Könyvtár összesen:</t>
  </si>
  <si>
    <t>Felhasználás 
2017. XII. 31-ig</t>
  </si>
  <si>
    <t>G=(B-D-F)</t>
  </si>
  <si>
    <t>Előző évi költségvetési maradvány igénybe vétele</t>
  </si>
  <si>
    <t>2 fő külsős bizottsági tag</t>
  </si>
  <si>
    <t>1.1. melléklet a          /2019.(………………) önkormányzati rendelethez</t>
  </si>
  <si>
    <t>2019. ÉVI KÖLTSÉGVETÉSÉNEK ÖSSZEVONT MÉRLEGE (forintban)</t>
  </si>
  <si>
    <t>2019. évi 
előirányzat</t>
  </si>
  <si>
    <t>2019. évi
mód. előir</t>
  </si>
  <si>
    <t>1.2. melléklet a          /2019.(………………) önkormányzati rendelethez</t>
  </si>
  <si>
    <t>2019. ÉVI KÖLTSÉGVETÉS KÖTELEZŐ FELADATAINAK MÉRLEGE (forintban)</t>
  </si>
  <si>
    <t>53 fő közmunkás 2019.03.01.-2020.02.29.</t>
  </si>
  <si>
    <t>1 fő közmunkaprogram adminisztrátor</t>
  </si>
  <si>
    <t>29 fő közalkalmazott</t>
  </si>
  <si>
    <t>4 fő közalkalmazott 4 órás</t>
  </si>
  <si>
    <t>Választott tisztségviselő 8 fő</t>
  </si>
  <si>
    <t>6 órás részmunkaidős munkatörvénykönyves 1 fő</t>
  </si>
  <si>
    <t>4 órás részmunkaidős közalkalmazott 4 fő</t>
  </si>
  <si>
    <t>Hosszabb távú közfoglaklkoztatott</t>
  </si>
  <si>
    <t>Közmunkaprogram adminisztrátor</t>
  </si>
  <si>
    <t>1.3. melléklet a          /2019.(………………) önkormányzati rendelethez</t>
  </si>
  <si>
    <t>2019. ÉVI KÖLTSÉGVETÉS ÖNKÉNT VÁLLALT FELADATAINAK MÉRLEGE
(forintban)</t>
  </si>
  <si>
    <t>1.4. melléklet a …….../2019.(………………) önkormányzati rendelethez</t>
  </si>
  <si>
    <t>2019. ÉVI KÖLTSÉGVETÉS ÁLLAMIGAZGATÁSI FELADATAINAK MÉRLEGE
forintban</t>
  </si>
  <si>
    <t>2.1. melléklet a              ………/2019.(………..) önkormányzati rendelethez</t>
  </si>
  <si>
    <t>2.2. melléklet a  ………/2019.(………..) önkormányzati rendelethez</t>
  </si>
  <si>
    <t>3.1. melléklet a ……./2019.(……………..) önkormányzati rendelethez</t>
  </si>
  <si>
    <t>Medgyesegyháza Város Önkormányzat 2019 évi bevételeinek alakulása - Önkormányzat
forintban</t>
  </si>
  <si>
    <t>2019. évi előirányzat</t>
  </si>
  <si>
    <t>2019. 
mód ei.</t>
  </si>
  <si>
    <t>2019. évi
 előirányzat</t>
  </si>
  <si>
    <t>Ebből 2019. évi előleg</t>
  </si>
  <si>
    <t>3.2. melléklet ..../2019. (…...) önkormányzati rendelethez</t>
  </si>
  <si>
    <t>Medgyesegyháza Város Önkormányzat 2019. évi bevételeinek alakulása - Medgyesegyházi Polgármesteri Hivatal
forintban</t>
  </si>
  <si>
    <t>2019. évi eredeti ei.</t>
  </si>
  <si>
    <t>3.3.  melléklet a .../2019. (....) önkormányzati rendelethez</t>
  </si>
  <si>
    <t>Medgyesegyháza Város Önkormányzat 2019. évi bevételeinek alakulása - Gondozási Központ (forintban)</t>
  </si>
  <si>
    <t>3.4.  melléklet a .../2019. (....) önkormányzati rendelethez</t>
  </si>
  <si>
    <t>Medgyesegyháza Város Önkormányzat 2019. évi bevételeinek alakulása - Varázserdő Óvoda
forintban</t>
  </si>
  <si>
    <t>3.5.  melléklet a .../2019. (....) önkormányzati rendelethez</t>
  </si>
  <si>
    <t>Medgyesegyháza Város Önkormányzat 2019. évi bevételeinek alakulása - Művelődési Ház és Könyvtár (forintban)</t>
  </si>
  <si>
    <t>4.1.  melléklet a ..../2019. (....) önkormányzati rendelethez</t>
  </si>
  <si>
    <t>Az Önkormányzat 2019. évi kiadások kiemelt előirányzatonként
forintban</t>
  </si>
  <si>
    <t>2019. előirányzat</t>
  </si>
  <si>
    <t>2019. 
előirányzat</t>
  </si>
  <si>
    <t>2019. évi bevétel</t>
  </si>
  <si>
    <t>4.2. melléklet .../2019. (...)  önkormányzati rendelethez</t>
  </si>
  <si>
    <t>Medgyesegyházi Polgármesteri Hivatal 2019. évi kiadások kiemelt előirányzatonként
forintban</t>
  </si>
  <si>
    <t>4.3. melléklet a .../2019. (....) önkormányzati rendelethez</t>
  </si>
  <si>
    <t>Gondozási Központ 2019. évi kiadások kiemelt előirányzatonként
forintban</t>
  </si>
  <si>
    <t>4.4. melléklet a .../2019. (....) önkormányzati rendelethez</t>
  </si>
  <si>
    <t>Varázserdő Óvoda 2019. évi kiadások kiemelt előirányzatonként
forintban</t>
  </si>
  <si>
    <t>4.5. melléklet a .../2019. (....) önkormányzati rendelethez</t>
  </si>
  <si>
    <t>Művelődési Ház és Könyvtár 2019. évi kiadások kiemelt előirányzatonként
forintban</t>
  </si>
  <si>
    <t>5. melléklet a ……/2019.(…………) önkormányzati rendelethez</t>
  </si>
  <si>
    <t>2019. évi
mód. ei.</t>
  </si>
  <si>
    <t>2019. év utáni
szükséglet</t>
  </si>
  <si>
    <t>6. melléklet a ……/2019.(…………) önkormányzati rendelethez</t>
  </si>
  <si>
    <t>Mezőgazdasági programelem</t>
  </si>
  <si>
    <t>Nagynyomású melegvizes mosó</t>
  </si>
  <si>
    <t>További egy évebn túl elhasználódó eszközök</t>
  </si>
  <si>
    <t>EFOP-3.9.2-16-2017-00025 Humán kapacitások fejlesztése 
eszközbeszerzés a Kisovi és a Tanulásfejlesztő óvodai torna programokhoz kapcsolódóan</t>
  </si>
  <si>
    <t>TOP-3.2.1-16 Önkormányzati épületek energetikai korszerűsítése</t>
  </si>
  <si>
    <t>TOP pályázatok összesen:</t>
  </si>
  <si>
    <t>VP-s pályázatok</t>
  </si>
  <si>
    <t>VP6-7.2.1-7.4.1.3-17 Helyi termékértékesítést szolgáló 
piacok infrastukt. fejleszt.</t>
  </si>
  <si>
    <t>VP6-19.2.1-49-4-17 Rendezvényszervezési eszközök beszerzése</t>
  </si>
  <si>
    <t>VP6-19.2.1-49-1-17 Kertészeti kisgép beszerzése Medgyesegyházán</t>
  </si>
  <si>
    <t>VP6-19.1.21-49-6-17 Eszközbeszerzés a bánkúti Baross László Emlékházba</t>
  </si>
  <si>
    <t>VP6-19.2.1-49-1-17 Mezőgazdasági gépbeszerzés Medgyesegyháza Városi Önkormányzat részére</t>
  </si>
  <si>
    <t>VP6-19.2.1-49-4-17 Rendezvényszerzevezési eszközök beszerzése 190 db szék</t>
  </si>
  <si>
    <t>VP-s pályázatok összesen:</t>
  </si>
  <si>
    <t>KEHOP 121 Helyi klímastratégia</t>
  </si>
  <si>
    <t>Képviselőtestület kiadásai: 1 éven túl elhasználódó eszközök</t>
  </si>
  <si>
    <t>Damjanich utca 62. előtt  lévő oszlopra közvilágítási lámpatest felszerelése</t>
  </si>
  <si>
    <r>
      <t>Katolikus temető 20 férőhelyes parkoló kialakítása 682 m</t>
    </r>
    <r>
      <rPr>
        <vertAlign val="superscript"/>
        <sz val="12"/>
        <rFont val="Times New Roman"/>
        <family val="1"/>
        <charset val="238"/>
      </rPr>
      <t>2</t>
    </r>
  </si>
  <si>
    <t>Belvízvédelmi terv</t>
  </si>
  <si>
    <t>Város- és községgazdálkodás 1 éven túl elhasználódó eszközök</t>
  </si>
  <si>
    <t>Településarculati kézikönyv</t>
  </si>
  <si>
    <t>2017-2019</t>
  </si>
  <si>
    <t>Éven túl elhasználódó eszközök</t>
  </si>
  <si>
    <t>Medgyesegyháza Központi Címregiszter</t>
  </si>
  <si>
    <t>Polgármesteri Hivatal összesen</t>
  </si>
  <si>
    <t>Házigondozóknak 4 db kerékpár vásárlás</t>
  </si>
  <si>
    <t>Szociális étkeztetéshez 2 db kerékpár vásárlás</t>
  </si>
  <si>
    <t>Felújított rendelőkbe szekrények, polcok készítése</t>
  </si>
  <si>
    <t>30 db párna, 30 db paplan, 30 db pléd 15ablakra függöny
és sötétítő vásárlása</t>
  </si>
  <si>
    <t>Orvosi váróterembe 35 db 4 személyes szék</t>
  </si>
  <si>
    <t>Nappali ellátásba egy éven túl elhasználódó eszköz</t>
  </si>
  <si>
    <t>Udvari Játék + tanúsítvány</t>
  </si>
  <si>
    <t>Konyhába légkondicionáló</t>
  </si>
  <si>
    <t>Emeleten iratoknak szekrény készítése</t>
  </si>
  <si>
    <t>Karbantartáshoz szerszámok (pl.. Sövényxvágó)</t>
  </si>
  <si>
    <t>Csoport szobai fejlesztő játékok</t>
  </si>
  <si>
    <t>Függönyök, sötétítők folyamatos cseréje</t>
  </si>
  <si>
    <t>G=(B-D-E)</t>
  </si>
  <si>
    <t>Bocskai utca 4,0 cm vastag asztfalt kopóréteggel való ellátása</t>
  </si>
  <si>
    <t>Medgyesegyháza, Dózsa György utca 3. 
Rendőrörs padozat felújítása</t>
  </si>
  <si>
    <t>Óvoda kerítés felújítása</t>
  </si>
  <si>
    <t>Óvoda épület 58 fm ereszcsatorna csere</t>
  </si>
  <si>
    <t>HIM-HF16 I. VH hadisírok felújítása</t>
  </si>
  <si>
    <r>
      <t>Evangélikus temető 20 férőhelyes parkoló kialakítása 649 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</t>
    </r>
  </si>
  <si>
    <r>
      <t>Bánkút Petőfi utca útalap készítés 686 m</t>
    </r>
    <r>
      <rPr>
        <vertAlign val="superscript"/>
        <sz val="10"/>
        <rFont val="Times New Roman"/>
        <family val="1"/>
        <charset val="238"/>
      </rPr>
      <t>2</t>
    </r>
  </si>
  <si>
    <t>Jövedelemadók (Termőföld bérbeadás)</t>
  </si>
  <si>
    <t>Éven túli célhitel törlesztő részlete</t>
  </si>
  <si>
    <t>1.-ből EU-s forrásból megvalósuló beruházás</t>
  </si>
  <si>
    <t>Iparűzési adó</t>
  </si>
  <si>
    <t>Termőföld bérbeadás</t>
  </si>
  <si>
    <t>Egyéb önkormányzati feladatok támogatása</t>
  </si>
  <si>
    <t>Futás nevezési díja</t>
  </si>
  <si>
    <t>EFOP-1.5.3-16-2017-00060 Humán közszolgáltatások fejlesztése</t>
  </si>
  <si>
    <t>EFOP-3.9.2-16-2017-00025 Humán kapacitások fejlesztése</t>
  </si>
  <si>
    <t>TOP-5.3.1-16-BS1-2017-00006 A helyi identitás és a kohézió erősítése</t>
  </si>
  <si>
    <t>TOP-4.3.1-15-BS1 Lászlótelep szegregátum felszámolása Medgyesegyházán</t>
  </si>
  <si>
    <t>TOP-5.1.2-15-BS1-2016-00008 Foglalkoztatási paktum</t>
  </si>
  <si>
    <t>VP6-19.2.1-49-4-17  Rendezvényszervezési eszközök beszerzése</t>
  </si>
  <si>
    <t>VP6-19.1.2.1-49-6-17 Eszközbeszerzés a bánkúti Baross László Emlékházba</t>
  </si>
  <si>
    <t>VP6-19.2.1-49-1-17 Mezőgazdasági gépbeszerzés Medgyesegyháza Városi Önk. R.</t>
  </si>
  <si>
    <t>VP6-19.2.1-49-4-17 Rendezvényszervezési eszközök beszerzése 190 db szék</t>
  </si>
  <si>
    <t>Európa polgárai, testvértelepülés találkozó</t>
  </si>
  <si>
    <t xml:space="preserve">HIM-HF16 I. VH hadisírok felújítása </t>
  </si>
  <si>
    <t>KEHOP 121-Helyi klímastratégia</t>
  </si>
  <si>
    <t>A települési önkormányzatok szociális szakosított ellátási feladatok tám.</t>
  </si>
  <si>
    <t>Elző évi költségvetési maradvány</t>
  </si>
  <si>
    <t>EP választás</t>
  </si>
  <si>
    <t>Hosszabb távú közfoglalkoztatás</t>
  </si>
  <si>
    <t>Előző évi költségvetési maradvány</t>
  </si>
  <si>
    <r>
      <t>Katolikus temető 20 férőhelyes parkoló kialakítása 682 m</t>
    </r>
    <r>
      <rPr>
        <vertAlign val="superscript"/>
        <sz val="9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</t>
    </r>
  </si>
  <si>
    <t>Fogszakorvos VP6-19.2.1-49-3-17 pályázatának támogatása</t>
  </si>
  <si>
    <t>Óvoda kerítés felújítása, 58 fm ereszcsatorna csere</t>
  </si>
  <si>
    <t>Nem lakóingatlan bérbeadása, üzemeltetése, rendőrörs padlózat felújítása</t>
  </si>
  <si>
    <t>Közvilágítás, Medgyesegyháza, Damjanich utca 62. előtt lévő 
oszlopra közvilágítási lámpatest felszerelése</t>
  </si>
  <si>
    <t xml:space="preserve">Pályázatok önerejére céltartalék </t>
  </si>
  <si>
    <t>Rendkívüli települési támogatás - egyszeri segély</t>
  </si>
  <si>
    <t>Éven túli célhitel törlesztése</t>
  </si>
  <si>
    <t>ASP rendszer kialakítása pályázat fennmaradó</t>
  </si>
  <si>
    <t>Sportcsarnok és uszoda használati díja</t>
  </si>
  <si>
    <t>Medgyesegyházáról kiadvány</t>
  </si>
  <si>
    <t>Belvízvédelmi terv készítése</t>
  </si>
  <si>
    <t>VP6-19.2.1-49-1-17-"Háztáji kertészetek , állattartók támogatása"</t>
  </si>
  <si>
    <t>Felhasználás 
2018. XII. 31-ig</t>
  </si>
  <si>
    <t xml:space="preserve">ebből: </t>
  </si>
  <si>
    <t>1 db LEKO  1,5m függesztett tárcsa</t>
  </si>
  <si>
    <t>1 db LEKO 1,4m kombinátor</t>
  </si>
  <si>
    <t>2 db rugós kapa kombinátorhoz</t>
  </si>
  <si>
    <t>9 db tárcsalap sima</t>
  </si>
  <si>
    <t>9 db tárcsalap csipkés</t>
  </si>
  <si>
    <t>Kiegyenlítő bérrendezési alap támogatása</t>
  </si>
  <si>
    <t>Bentlakásos intézménybe éven túli eszköz vásárlása</t>
  </si>
  <si>
    <t>13 fő hosszabb távú közfoglalkoztatás 2019.03.01. - 2020.02.29.</t>
  </si>
  <si>
    <t>3 fő hosszabb távú közfoglalkoztatott 2019.03.01. - 2020.02.29.</t>
  </si>
  <si>
    <t>2019. március 1. napján engedélyezett létszámkeret</t>
  </si>
  <si>
    <t xml:space="preserve">1 fő rehabos foglalkoztatott 2019. március 31-ig </t>
  </si>
  <si>
    <t>1 fő rehabos foglalkoztatott 2019. április 30.</t>
  </si>
  <si>
    <t>Teljes munkaidős foglalkoztatott 144 fő</t>
  </si>
  <si>
    <t xml:space="preserve">rehabos foglalkoztatott 2 fő </t>
  </si>
  <si>
    <t>1 fő munkatörvénykönyves 6 órás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</si>
</sst>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#,##0.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3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/>
    <xf numFmtId="49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4" fillId="0" borderId="6" xfId="0" applyFont="1" applyBorder="1"/>
    <xf numFmtId="0" fontId="5" fillId="0" borderId="9" xfId="0" applyFont="1" applyBorder="1"/>
    <xf numFmtId="0" fontId="4" fillId="0" borderId="6" xfId="0" applyFont="1" applyBorder="1" applyAlignment="1">
      <alignment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10" xfId="0" applyNumberFormat="1" applyFont="1" applyBorder="1" applyAlignment="1">
      <alignment horizontal="center"/>
    </xf>
    <xf numFmtId="0" fontId="4" fillId="0" borderId="11" xfId="0" applyFont="1" applyBorder="1"/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4" fillId="0" borderId="5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13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12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vertical="center"/>
    </xf>
    <xf numFmtId="0" fontId="7" fillId="0" borderId="0" xfId="1" applyFont="1" applyFill="1"/>
    <xf numFmtId="0" fontId="8" fillId="0" borderId="1" xfId="5" applyFont="1" applyBorder="1" applyAlignment="1">
      <alignment horizontal="center"/>
    </xf>
    <xf numFmtId="0" fontId="7" fillId="0" borderId="0" xfId="5" applyFont="1"/>
    <xf numFmtId="0" fontId="18" fillId="0" borderId="1" xfId="5" applyFont="1" applyBorder="1" applyAlignment="1">
      <alignment horizontal="center" vertical="center"/>
    </xf>
    <xf numFmtId="3" fontId="2" fillId="0" borderId="0" xfId="5" applyNumberFormat="1"/>
    <xf numFmtId="0" fontId="2" fillId="0" borderId="0" xfId="5"/>
    <xf numFmtId="0" fontId="8" fillId="0" borderId="1" xfId="5" applyFont="1" applyBorder="1" applyAlignment="1">
      <alignment horizontal="center" wrapText="1"/>
    </xf>
    <xf numFmtId="0" fontId="8" fillId="2" borderId="1" xfId="5" applyFont="1" applyFill="1" applyBorder="1" applyAlignment="1">
      <alignment horizontal="center"/>
    </xf>
    <xf numFmtId="0" fontId="2" fillId="2" borderId="0" xfId="5" applyFill="1"/>
    <xf numFmtId="0" fontId="2" fillId="0" borderId="1" xfId="5" applyBorder="1"/>
    <xf numFmtId="0" fontId="22" fillId="0" borderId="1" xfId="5" applyFont="1" applyFill="1" applyBorder="1" applyAlignment="1">
      <alignment vertical="center"/>
    </xf>
    <xf numFmtId="0" fontId="2" fillId="0" borderId="0" xfId="5" applyBorder="1"/>
    <xf numFmtId="0" fontId="19" fillId="2" borderId="1" xfId="5" applyFont="1" applyFill="1" applyBorder="1" applyAlignment="1">
      <alignment horizontal="center" vertical="center" wrapText="1"/>
    </xf>
    <xf numFmtId="0" fontId="25" fillId="2" borderId="1" xfId="5" applyFont="1" applyFill="1" applyBorder="1" applyAlignment="1">
      <alignment horizontal="center"/>
    </xf>
    <xf numFmtId="0" fontId="20" fillId="2" borderId="0" xfId="5" applyFont="1" applyFill="1"/>
    <xf numFmtId="0" fontId="27" fillId="2" borderId="1" xfId="5" applyFont="1" applyFill="1" applyBorder="1" applyAlignment="1">
      <alignment horizontal="center" wrapText="1"/>
    </xf>
    <xf numFmtId="0" fontId="28" fillId="2" borderId="1" xfId="5" applyFont="1" applyFill="1" applyBorder="1" applyAlignment="1">
      <alignment horizontal="center" vertical="center"/>
    </xf>
    <xf numFmtId="0" fontId="25" fillId="0" borderId="1" xfId="5" applyFont="1" applyFill="1" applyBorder="1" applyAlignment="1">
      <alignment horizontal="center"/>
    </xf>
    <xf numFmtId="0" fontId="13" fillId="0" borderId="1" xfId="5" applyFont="1" applyFill="1" applyBorder="1" applyAlignment="1">
      <alignment vertical="center"/>
    </xf>
    <xf numFmtId="3" fontId="29" fillId="0" borderId="1" xfId="5" applyNumberFormat="1" applyFont="1" applyFill="1" applyBorder="1" applyAlignment="1">
      <alignment horizontal="right" vertical="center"/>
    </xf>
    <xf numFmtId="3" fontId="29" fillId="0" borderId="1" xfId="5" applyNumberFormat="1" applyFont="1" applyFill="1" applyBorder="1" applyAlignment="1">
      <alignment horizontal="right" vertical="center" wrapText="1"/>
    </xf>
    <xf numFmtId="0" fontId="20" fillId="0" borderId="0" xfId="5" applyFont="1" applyFill="1"/>
    <xf numFmtId="0" fontId="20" fillId="2" borderId="1" xfId="5" applyFont="1" applyFill="1" applyBorder="1"/>
    <xf numFmtId="3" fontId="20" fillId="2" borderId="0" xfId="5" applyNumberFormat="1" applyFont="1" applyFill="1"/>
    <xf numFmtId="0" fontId="25" fillId="2" borderId="1" xfId="5" applyFont="1" applyFill="1" applyBorder="1"/>
    <xf numFmtId="0" fontId="29" fillId="2" borderId="1" xfId="5" applyFont="1" applyFill="1" applyBorder="1" applyAlignment="1">
      <alignment horizontal="center" vertical="center"/>
    </xf>
    <xf numFmtId="0" fontId="13" fillId="2" borderId="1" xfId="5" applyFont="1" applyFill="1" applyBorder="1" applyAlignment="1">
      <alignment vertical="center"/>
    </xf>
    <xf numFmtId="3" fontId="20" fillId="2" borderId="1" xfId="5" applyNumberFormat="1" applyFont="1" applyFill="1" applyBorder="1"/>
    <xf numFmtId="3" fontId="29" fillId="2" borderId="1" xfId="5" applyNumberFormat="1" applyFont="1" applyFill="1" applyBorder="1"/>
    <xf numFmtId="0" fontId="25" fillId="2" borderId="0" xfId="5" applyFont="1" applyFill="1"/>
    <xf numFmtId="0" fontId="7" fillId="0" borderId="0" xfId="5" applyFont="1" applyAlignment="1">
      <alignment horizontal="right"/>
    </xf>
    <xf numFmtId="0" fontId="20" fillId="0" borderId="1" xfId="5" applyFont="1" applyFill="1" applyBorder="1" applyAlignment="1">
      <alignment horizontal="center"/>
    </xf>
    <xf numFmtId="0" fontId="26" fillId="0" borderId="0" xfId="5" applyFont="1" applyFill="1" applyBorder="1" applyAlignment="1">
      <alignment horizontal="center" vertical="center"/>
    </xf>
    <xf numFmtId="0" fontId="27" fillId="0" borderId="1" xfId="5" applyFont="1" applyFill="1" applyBorder="1" applyAlignment="1">
      <alignment horizontal="center" wrapText="1"/>
    </xf>
    <xf numFmtId="0" fontId="28" fillId="0" borderId="1" xfId="5" applyFont="1" applyFill="1" applyBorder="1" applyAlignment="1">
      <alignment horizontal="center" vertical="center"/>
    </xf>
    <xf numFmtId="0" fontId="29" fillId="0" borderId="1" xfId="5" applyFont="1" applyFill="1" applyBorder="1" applyAlignment="1">
      <alignment horizontal="center" vertical="center" wrapText="1"/>
    </xf>
    <xf numFmtId="0" fontId="29" fillId="0" borderId="0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0" fillId="0" borderId="1" xfId="5" applyFont="1" applyFill="1" applyBorder="1"/>
    <xf numFmtId="3" fontId="29" fillId="0" borderId="0" xfId="5" applyNumberFormat="1" applyFont="1" applyFill="1" applyBorder="1" applyAlignment="1">
      <alignment horizontal="right" vertical="center" wrapText="1"/>
    </xf>
    <xf numFmtId="0" fontId="27" fillId="0" borderId="1" xfId="5" applyFont="1" applyFill="1" applyBorder="1" applyAlignment="1">
      <alignment horizontal="center"/>
    </xf>
    <xf numFmtId="0" fontId="29" fillId="0" borderId="1" xfId="5" applyFont="1" applyFill="1" applyBorder="1" applyAlignment="1">
      <alignment vertical="center"/>
    </xf>
    <xf numFmtId="0" fontId="29" fillId="0" borderId="0" xfId="5" applyFont="1" applyFill="1"/>
    <xf numFmtId="0" fontId="20" fillId="0" borderId="1" xfId="5" applyFont="1" applyFill="1" applyBorder="1" applyAlignment="1">
      <alignment vertical="center"/>
    </xf>
    <xf numFmtId="3" fontId="20" fillId="0" borderId="0" xfId="5" applyNumberFormat="1" applyFont="1" applyFill="1" applyBorder="1" applyAlignment="1">
      <alignment horizontal="right" vertical="center" wrapText="1"/>
    </xf>
    <xf numFmtId="3" fontId="30" fillId="0" borderId="0" xfId="5" applyNumberFormat="1" applyFont="1" applyFill="1" applyBorder="1" applyAlignment="1">
      <alignment vertical="center"/>
    </xf>
    <xf numFmtId="3" fontId="20" fillId="0" borderId="0" xfId="5" applyNumberFormat="1" applyFont="1" applyFill="1" applyBorder="1"/>
    <xf numFmtId="0" fontId="29" fillId="0" borderId="1" xfId="5" applyFont="1" applyFill="1" applyBorder="1"/>
    <xf numFmtId="3" fontId="20" fillId="0" borderId="0" xfId="5" applyNumberFormat="1" applyFont="1" applyFill="1"/>
    <xf numFmtId="3" fontId="5" fillId="0" borderId="4" xfId="0" applyNumberFormat="1" applyFon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3" fontId="4" fillId="0" borderId="4" xfId="0" applyNumberFormat="1" applyFont="1" applyBorder="1"/>
    <xf numFmtId="0" fontId="7" fillId="0" borderId="1" xfId="1" applyFont="1" applyFill="1" applyBorder="1"/>
    <xf numFmtId="0" fontId="10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12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horizontal="right" vertical="center" wrapText="1"/>
    </xf>
    <xf numFmtId="0" fontId="11" fillId="0" borderId="0" xfId="1" applyFont="1" applyFill="1"/>
    <xf numFmtId="0" fontId="7" fillId="0" borderId="1" xfId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vertical="center"/>
    </xf>
    <xf numFmtId="0" fontId="11" fillId="0" borderId="1" xfId="1" applyFont="1" applyFill="1" applyBorder="1"/>
    <xf numFmtId="0" fontId="4" fillId="0" borderId="4" xfId="0" applyFont="1" applyBorder="1"/>
    <xf numFmtId="3" fontId="29" fillId="0" borderId="0" xfId="5" applyNumberFormat="1" applyFont="1" applyFill="1" applyBorder="1"/>
    <xf numFmtId="3" fontId="5" fillId="0" borderId="0" xfId="0" applyNumberFormat="1" applyFont="1"/>
    <xf numFmtId="3" fontId="4" fillId="0" borderId="6" xfId="0" applyNumberFormat="1" applyFont="1" applyBorder="1" applyAlignment="1">
      <alignment horizontal="center"/>
    </xf>
    <xf numFmtId="165" fontId="7" fillId="0" borderId="0" xfId="1" applyNumberFormat="1" applyFont="1" applyFill="1"/>
    <xf numFmtId="165" fontId="12" fillId="0" borderId="1" xfId="2" applyNumberFormat="1" applyFont="1" applyFill="1" applyBorder="1" applyAlignment="1">
      <alignment vertical="center"/>
    </xf>
    <xf numFmtId="165" fontId="12" fillId="0" borderId="1" xfId="2" applyNumberFormat="1" applyFont="1" applyFill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right" vertical="center"/>
    </xf>
    <xf numFmtId="165" fontId="14" fillId="0" borderId="1" xfId="2" applyNumberFormat="1" applyFont="1" applyFill="1" applyBorder="1" applyAlignment="1">
      <alignment vertical="center"/>
    </xf>
    <xf numFmtId="165" fontId="13" fillId="0" borderId="1" xfId="2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/>
    <xf numFmtId="165" fontId="6" fillId="0" borderId="1" xfId="1" applyNumberFormat="1" applyFont="1" applyFill="1" applyBorder="1" applyAlignment="1">
      <alignment vertical="center"/>
    </xf>
    <xf numFmtId="165" fontId="12" fillId="0" borderId="1" xfId="1" applyNumberFormat="1" applyFont="1" applyFill="1" applyBorder="1" applyAlignment="1">
      <alignment vertical="center"/>
    </xf>
    <xf numFmtId="165" fontId="6" fillId="0" borderId="9" xfId="1" applyNumberFormat="1" applyFont="1" applyFill="1" applyBorder="1" applyAlignment="1">
      <alignment vertical="center"/>
    </xf>
    <xf numFmtId="165" fontId="11" fillId="0" borderId="1" xfId="1" applyNumberFormat="1" applyFont="1" applyFill="1" applyBorder="1"/>
    <xf numFmtId="165" fontId="13" fillId="0" borderId="1" xfId="5" applyNumberFormat="1" applyFont="1" applyFill="1" applyBorder="1" applyAlignment="1">
      <alignment horizontal="right" vertical="center" wrapText="1"/>
    </xf>
    <xf numFmtId="165" fontId="29" fillId="0" borderId="1" xfId="5" applyNumberFormat="1" applyFont="1" applyFill="1" applyBorder="1" applyAlignment="1">
      <alignment horizontal="right" vertical="center"/>
    </xf>
    <xf numFmtId="165" fontId="29" fillId="0" borderId="1" xfId="5" applyNumberFormat="1" applyFont="1" applyFill="1" applyBorder="1" applyAlignment="1">
      <alignment horizontal="right" vertical="center" wrapText="1"/>
    </xf>
    <xf numFmtId="165" fontId="13" fillId="0" borderId="1" xfId="5" applyNumberFormat="1" applyFont="1" applyFill="1" applyBorder="1" applyAlignment="1">
      <alignment vertical="center"/>
    </xf>
    <xf numFmtId="165" fontId="13" fillId="0" borderId="1" xfId="5" applyNumberFormat="1" applyFont="1" applyFill="1" applyBorder="1" applyAlignment="1">
      <alignment horizontal="right" vertical="center"/>
    </xf>
    <xf numFmtId="165" fontId="13" fillId="0" borderId="1" xfId="6" applyNumberFormat="1" applyFont="1" applyFill="1" applyBorder="1" applyAlignment="1">
      <alignment horizontal="right" vertical="center"/>
    </xf>
    <xf numFmtId="165" fontId="20" fillId="0" borderId="1" xfId="5" applyNumberFormat="1" applyFont="1" applyFill="1" applyBorder="1"/>
    <xf numFmtId="165" fontId="13" fillId="0" borderId="1" xfId="6" applyNumberFormat="1" applyFont="1" applyFill="1" applyBorder="1" applyAlignment="1">
      <alignment vertical="center"/>
    </xf>
    <xf numFmtId="165" fontId="30" fillId="0" borderId="1" xfId="5" applyNumberFormat="1" applyFont="1" applyFill="1" applyBorder="1" applyAlignment="1">
      <alignment vertical="center"/>
    </xf>
    <xf numFmtId="165" fontId="20" fillId="0" borderId="1" xfId="5" applyNumberFormat="1" applyFont="1" applyFill="1" applyBorder="1" applyAlignment="1">
      <alignment horizontal="right" vertical="center" wrapText="1"/>
    </xf>
    <xf numFmtId="165" fontId="29" fillId="0" borderId="1" xfId="5" applyNumberFormat="1" applyFont="1" applyFill="1" applyBorder="1"/>
    <xf numFmtId="165" fontId="13" fillId="2" borderId="1" xfId="5" applyNumberFormat="1" applyFont="1" applyFill="1" applyBorder="1" applyAlignment="1">
      <alignment horizontal="right" vertical="center"/>
    </xf>
    <xf numFmtId="165" fontId="12" fillId="2" borderId="1" xfId="5" applyNumberFormat="1" applyFont="1" applyFill="1" applyBorder="1" applyAlignment="1">
      <alignment horizontal="right" vertical="center"/>
    </xf>
    <xf numFmtId="165" fontId="29" fillId="2" borderId="1" xfId="5" applyNumberFormat="1" applyFont="1" applyFill="1" applyBorder="1" applyAlignment="1">
      <alignment horizontal="right" vertical="center"/>
    </xf>
    <xf numFmtId="165" fontId="20" fillId="2" borderId="1" xfId="5" applyNumberFormat="1" applyFont="1" applyFill="1" applyBorder="1"/>
    <xf numFmtId="165" fontId="12" fillId="2" borderId="1" xfId="5" applyNumberFormat="1" applyFont="1" applyFill="1" applyBorder="1" applyAlignment="1">
      <alignment vertical="center"/>
    </xf>
    <xf numFmtId="165" fontId="21" fillId="2" borderId="1" xfId="5" applyNumberFormat="1" applyFont="1" applyFill="1" applyBorder="1" applyAlignment="1">
      <alignment vertical="center"/>
    </xf>
    <xf numFmtId="165" fontId="21" fillId="2" borderId="1" xfId="5" applyNumberFormat="1" applyFont="1" applyFill="1" applyBorder="1" applyAlignment="1">
      <alignment horizontal="right" vertical="center"/>
    </xf>
    <xf numFmtId="165" fontId="19" fillId="2" borderId="1" xfId="5" applyNumberFormat="1" applyFont="1" applyFill="1" applyBorder="1" applyAlignment="1">
      <alignment horizontal="right" vertical="center"/>
    </xf>
    <xf numFmtId="165" fontId="19" fillId="0" borderId="1" xfId="5" applyNumberFormat="1" applyFont="1" applyBorder="1" applyAlignment="1">
      <alignment horizontal="right" vertical="center"/>
    </xf>
    <xf numFmtId="165" fontId="7" fillId="0" borderId="1" xfId="5" applyNumberFormat="1" applyFont="1" applyBorder="1"/>
    <xf numFmtId="0" fontId="13" fillId="0" borderId="1" xfId="5" applyFont="1" applyFill="1" applyBorder="1" applyAlignment="1">
      <alignment vertical="center" wrapText="1"/>
    </xf>
    <xf numFmtId="165" fontId="20" fillId="0" borderId="1" xfId="5" applyNumberFormat="1" applyFont="1" applyFill="1" applyBorder="1" applyAlignment="1">
      <alignment vertical="center"/>
    </xf>
    <xf numFmtId="3" fontId="29" fillId="0" borderId="1" xfId="5" applyNumberFormat="1" applyFont="1" applyFill="1" applyBorder="1"/>
    <xf numFmtId="1" fontId="7" fillId="0" borderId="0" xfId="1" applyNumberFormat="1" applyFont="1" applyFill="1"/>
    <xf numFmtId="165" fontId="4" fillId="0" borderId="0" xfId="0" applyNumberFormat="1" applyFont="1" applyAlignment="1">
      <alignment horizontal="right"/>
    </xf>
    <xf numFmtId="165" fontId="4" fillId="0" borderId="7" xfId="0" applyNumberFormat="1" applyFont="1" applyBorder="1"/>
    <xf numFmtId="165" fontId="4" fillId="0" borderId="0" xfId="0" applyNumberFormat="1" applyFont="1"/>
    <xf numFmtId="165" fontId="5" fillId="0" borderId="4" xfId="0" applyNumberFormat="1" applyFont="1" applyBorder="1"/>
    <xf numFmtId="165" fontId="5" fillId="0" borderId="1" xfId="0" applyNumberFormat="1" applyFont="1" applyBorder="1"/>
    <xf numFmtId="165" fontId="5" fillId="0" borderId="9" xfId="0" applyNumberFormat="1" applyFont="1" applyBorder="1"/>
    <xf numFmtId="165" fontId="5" fillId="0" borderId="13" xfId="0" applyNumberFormat="1" applyFont="1" applyBorder="1"/>
    <xf numFmtId="165" fontId="5" fillId="0" borderId="0" xfId="0" applyNumberFormat="1" applyFont="1"/>
    <xf numFmtId="165" fontId="4" fillId="0" borderId="0" xfId="0" applyNumberFormat="1" applyFont="1" applyAlignment="1">
      <alignment horizontal="center"/>
    </xf>
    <xf numFmtId="165" fontId="4" fillId="0" borderId="6" xfId="0" applyNumberFormat="1" applyFont="1" applyBorder="1"/>
    <xf numFmtId="165" fontId="4" fillId="0" borderId="12" xfId="0" applyNumberFormat="1" applyFont="1" applyBorder="1"/>
    <xf numFmtId="165" fontId="4" fillId="0" borderId="1" xfId="0" applyNumberFormat="1" applyFont="1" applyBorder="1"/>
    <xf numFmtId="0" fontId="31" fillId="0" borderId="1" xfId="5" applyFont="1" applyBorder="1" applyAlignment="1">
      <alignment horizontal="center"/>
    </xf>
    <xf numFmtId="0" fontId="32" fillId="0" borderId="1" xfId="5" applyFont="1" applyBorder="1" applyAlignment="1">
      <alignment horizontal="center" vertical="center" wrapText="1"/>
    </xf>
    <xf numFmtId="0" fontId="33" fillId="0" borderId="1" xfId="5" applyFont="1" applyBorder="1" applyAlignment="1">
      <alignment horizontal="center" vertical="center"/>
    </xf>
    <xf numFmtId="0" fontId="34" fillId="0" borderId="0" xfId="5" applyFont="1"/>
    <xf numFmtId="0" fontId="20" fillId="0" borderId="18" xfId="5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29" fillId="0" borderId="0" xfId="5" applyNumberFormat="1" applyFont="1" applyFill="1" applyBorder="1" applyAlignment="1">
      <alignment horizontal="right" vertical="center"/>
    </xf>
    <xf numFmtId="0" fontId="29" fillId="0" borderId="1" xfId="5" applyFont="1" applyFill="1" applyBorder="1" applyAlignment="1">
      <alignment horizontal="center"/>
    </xf>
    <xf numFmtId="0" fontId="35" fillId="0" borderId="1" xfId="5" applyFont="1" applyFill="1" applyBorder="1" applyAlignment="1">
      <alignment horizontal="center" vertical="center"/>
    </xf>
    <xf numFmtId="165" fontId="20" fillId="0" borderId="1" xfId="5" applyNumberFormat="1" applyFont="1" applyFill="1" applyBorder="1" applyAlignment="1">
      <alignment horizontal="right" vertical="center"/>
    </xf>
    <xf numFmtId="3" fontId="20" fillId="0" borderId="0" xfId="5" applyNumberFormat="1" applyFont="1" applyFill="1" applyBorder="1" applyAlignment="1">
      <alignment horizontal="right" vertical="center"/>
    </xf>
    <xf numFmtId="1" fontId="20" fillId="0" borderId="1" xfId="5" applyNumberFormat="1" applyFont="1" applyFill="1" applyBorder="1" applyAlignment="1">
      <alignment horizontal="right" vertical="center"/>
    </xf>
    <xf numFmtId="0" fontId="35" fillId="0" borderId="1" xfId="5" applyFont="1" applyFill="1" applyBorder="1" applyAlignment="1">
      <alignment horizontal="left" vertical="center"/>
    </xf>
    <xf numFmtId="0" fontId="28" fillId="0" borderId="1" xfId="5" applyFont="1" applyFill="1" applyBorder="1" applyAlignment="1">
      <alignment horizontal="left" vertical="center"/>
    </xf>
    <xf numFmtId="1" fontId="29" fillId="0" borderId="1" xfId="5" applyNumberFormat="1" applyFont="1" applyFill="1" applyBorder="1" applyAlignment="1">
      <alignment horizontal="right" vertical="center"/>
    </xf>
    <xf numFmtId="0" fontId="4" fillId="0" borderId="22" xfId="0" applyFont="1" applyBorder="1"/>
    <xf numFmtId="0" fontId="4" fillId="0" borderId="4" xfId="0" applyFont="1" applyBorder="1" applyAlignment="1">
      <alignment horizontal="center"/>
    </xf>
    <xf numFmtId="165" fontId="4" fillId="0" borderId="4" xfId="0" applyNumberFormat="1" applyFont="1" applyBorder="1"/>
    <xf numFmtId="165" fontId="4" fillId="0" borderId="0" xfId="0" applyNumberFormat="1" applyFont="1" applyBorder="1"/>
    <xf numFmtId="3" fontId="6" fillId="0" borderId="1" xfId="1" applyNumberFormat="1" applyFont="1" applyFill="1" applyBorder="1" applyAlignment="1">
      <alignment vertical="center"/>
    </xf>
    <xf numFmtId="165" fontId="11" fillId="0" borderId="4" xfId="1" applyNumberFormat="1" applyFont="1" applyFill="1" applyBorder="1" applyAlignment="1">
      <alignment horizontal="center" vertical="center" wrapText="1"/>
    </xf>
    <xf numFmtId="0" fontId="29" fillId="0" borderId="4" xfId="5" applyFont="1" applyFill="1" applyBorder="1" applyAlignment="1">
      <alignment horizontal="center" vertical="center" wrapText="1"/>
    </xf>
    <xf numFmtId="0" fontId="11" fillId="0" borderId="0" xfId="1" applyFont="1" applyFill="1" applyBorder="1"/>
    <xf numFmtId="3" fontId="2" fillId="2" borderId="16" xfId="5" applyNumberFormat="1" applyFill="1" applyBorder="1"/>
    <xf numFmtId="0" fontId="20" fillId="2" borderId="16" xfId="5" applyFont="1" applyFill="1" applyBorder="1"/>
    <xf numFmtId="165" fontId="29" fillId="2" borderId="1" xfId="5" applyNumberFormat="1" applyFont="1" applyFill="1" applyBorder="1"/>
    <xf numFmtId="0" fontId="5" fillId="0" borderId="0" xfId="0" applyFont="1" applyAlignment="1">
      <alignment horizontal="center" vertical="center"/>
    </xf>
    <xf numFmtId="165" fontId="20" fillId="0" borderId="0" xfId="5" applyNumberFormat="1" applyFont="1" applyFill="1"/>
    <xf numFmtId="3" fontId="4" fillId="0" borderId="22" xfId="0" applyNumberFormat="1" applyFont="1" applyBorder="1" applyAlignment="1">
      <alignment horizontal="center" vertical="center"/>
    </xf>
    <xf numFmtId="165" fontId="4" fillId="0" borderId="22" xfId="0" applyNumberFormat="1" applyFont="1" applyBorder="1"/>
    <xf numFmtId="165" fontId="4" fillId="0" borderId="2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65" fontId="5" fillId="0" borderId="17" xfId="0" applyNumberFormat="1" applyFont="1" applyBorder="1"/>
    <xf numFmtId="0" fontId="4" fillId="0" borderId="12" xfId="0" applyFont="1" applyBorder="1" applyAlignment="1">
      <alignment horizontal="center" vertical="center" wrapText="1"/>
    </xf>
    <xf numFmtId="165" fontId="5" fillId="0" borderId="20" xfId="0" applyNumberFormat="1" applyFont="1" applyBorder="1"/>
    <xf numFmtId="165" fontId="5" fillId="0" borderId="12" xfId="0" applyNumberFormat="1" applyFont="1" applyBorder="1"/>
    <xf numFmtId="0" fontId="4" fillId="0" borderId="29" xfId="0" applyFont="1" applyBorder="1" applyAlignment="1">
      <alignment horizontal="center" vertical="center" wrapText="1"/>
    </xf>
    <xf numFmtId="165" fontId="4" fillId="0" borderId="13" xfId="0" applyNumberFormat="1" applyFont="1" applyBorder="1"/>
    <xf numFmtId="165" fontId="4" fillId="0" borderId="30" xfId="0" applyNumberFormat="1" applyFont="1" applyBorder="1"/>
    <xf numFmtId="165" fontId="4" fillId="0" borderId="11" xfId="0" applyNumberFormat="1" applyFont="1" applyBorder="1"/>
    <xf numFmtId="3" fontId="4" fillId="0" borderId="2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5" fontId="5" fillId="0" borderId="32" xfId="0" applyNumberFormat="1" applyFont="1" applyBorder="1"/>
    <xf numFmtId="165" fontId="5" fillId="0" borderId="33" xfId="0" applyNumberFormat="1" applyFont="1" applyBorder="1"/>
    <xf numFmtId="165" fontId="5" fillId="0" borderId="34" xfId="0" applyNumberFormat="1" applyFont="1" applyBorder="1"/>
    <xf numFmtId="165" fontId="4" fillId="0" borderId="35" xfId="0" applyNumberFormat="1" applyFont="1" applyBorder="1"/>
    <xf numFmtId="165" fontId="4" fillId="0" borderId="36" xfId="0" applyNumberFormat="1" applyFont="1" applyBorder="1"/>
    <xf numFmtId="165" fontId="4" fillId="0" borderId="6" xfId="0" applyNumberFormat="1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9" fillId="2" borderId="1" xfId="5" applyFont="1" applyFill="1" applyBorder="1"/>
    <xf numFmtId="165" fontId="16" fillId="2" borderId="1" xfId="5" applyNumberFormat="1" applyFont="1" applyFill="1" applyBorder="1"/>
    <xf numFmtId="0" fontId="5" fillId="0" borderId="1" xfId="0" applyFont="1" applyBorder="1" applyAlignment="1">
      <alignment horizontal="left"/>
    </xf>
    <xf numFmtId="165" fontId="5" fillId="0" borderId="1" xfId="0" applyNumberFormat="1" applyFont="1" applyFill="1" applyBorder="1"/>
    <xf numFmtId="0" fontId="4" fillId="0" borderId="10" xfId="0" applyFont="1" applyBorder="1"/>
    <xf numFmtId="3" fontId="5" fillId="0" borderId="13" xfId="0" applyNumberFormat="1" applyFont="1" applyBorder="1"/>
    <xf numFmtId="3" fontId="5" fillId="0" borderId="1" xfId="0" applyNumberFormat="1" applyFont="1" applyBorder="1"/>
    <xf numFmtId="165" fontId="4" fillId="0" borderId="1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28" xfId="0" applyNumberFormat="1" applyFont="1" applyBorder="1"/>
    <xf numFmtId="165" fontId="4" fillId="0" borderId="12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165" fontId="4" fillId="0" borderId="0" xfId="0" applyNumberFormat="1" applyFont="1" applyFill="1"/>
    <xf numFmtId="165" fontId="4" fillId="0" borderId="12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/>
    <xf numFmtId="165" fontId="5" fillId="0" borderId="32" xfId="0" applyNumberFormat="1" applyFont="1" applyFill="1" applyBorder="1"/>
    <xf numFmtId="165" fontId="5" fillId="0" borderId="17" xfId="0" applyNumberFormat="1" applyFont="1" applyFill="1" applyBorder="1"/>
    <xf numFmtId="165" fontId="5" fillId="0" borderId="4" xfId="0" applyNumberFormat="1" applyFont="1" applyFill="1" applyBorder="1"/>
    <xf numFmtId="165" fontId="4" fillId="0" borderId="6" xfId="0" applyNumberFormat="1" applyFont="1" applyFill="1" applyBorder="1"/>
    <xf numFmtId="165" fontId="4" fillId="0" borderId="4" xfId="0" applyNumberFormat="1" applyFont="1" applyFill="1" applyBorder="1"/>
    <xf numFmtId="165" fontId="5" fillId="0" borderId="9" xfId="0" applyNumberFormat="1" applyFont="1" applyFill="1" applyBorder="1"/>
    <xf numFmtId="165" fontId="4" fillId="0" borderId="12" xfId="0" applyNumberFormat="1" applyFont="1" applyFill="1" applyBorder="1" applyAlignment="1">
      <alignment wrapText="1"/>
    </xf>
    <xf numFmtId="165" fontId="5" fillId="0" borderId="0" xfId="0" applyNumberFormat="1" applyFont="1" applyFill="1"/>
    <xf numFmtId="165" fontId="5" fillId="0" borderId="12" xfId="0" applyNumberFormat="1" applyFont="1" applyFill="1" applyBorder="1"/>
    <xf numFmtId="165" fontId="5" fillId="0" borderId="20" xfId="0" applyNumberFormat="1" applyFont="1" applyFill="1" applyBorder="1"/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49" fontId="5" fillId="0" borderId="0" xfId="0" applyNumberFormat="1" applyFont="1" applyFill="1" applyAlignment="1">
      <alignment horizontal="center"/>
    </xf>
    <xf numFmtId="0" fontId="20" fillId="0" borderId="18" xfId="5" applyFont="1" applyFill="1" applyBorder="1" applyAlignment="1">
      <alignment horizontal="center"/>
    </xf>
    <xf numFmtId="165" fontId="4" fillId="0" borderId="7" xfId="0" applyNumberFormat="1" applyFont="1" applyFill="1" applyBorder="1"/>
    <xf numFmtId="0" fontId="7" fillId="0" borderId="0" xfId="5" applyFont="1" applyFill="1"/>
    <xf numFmtId="0" fontId="8" fillId="0" borderId="1" xfId="5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 wrapText="1"/>
    </xf>
    <xf numFmtId="0" fontId="19" fillId="0" borderId="16" xfId="5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vertical="center"/>
    </xf>
    <xf numFmtId="165" fontId="21" fillId="0" borderId="1" xfId="5" applyNumberFormat="1" applyFont="1" applyFill="1" applyBorder="1" applyAlignment="1">
      <alignment vertical="center"/>
    </xf>
    <xf numFmtId="165" fontId="21" fillId="0" borderId="1" xfId="5" applyNumberFormat="1" applyFont="1" applyFill="1" applyBorder="1" applyAlignment="1">
      <alignment horizontal="right" vertical="center"/>
    </xf>
    <xf numFmtId="165" fontId="19" fillId="0" borderId="1" xfId="5" applyNumberFormat="1" applyFont="1" applyFill="1" applyBorder="1" applyAlignment="1">
      <alignment horizontal="right" vertical="center"/>
    </xf>
    <xf numFmtId="165" fontId="19" fillId="0" borderId="16" xfId="5" applyNumberFormat="1" applyFont="1" applyFill="1" applyBorder="1" applyAlignment="1">
      <alignment horizontal="right" vertical="center"/>
    </xf>
    <xf numFmtId="165" fontId="7" fillId="0" borderId="1" xfId="5" applyNumberFormat="1" applyFont="1" applyFill="1" applyBorder="1"/>
    <xf numFmtId="0" fontId="7" fillId="0" borderId="1" xfId="5" applyFont="1" applyFill="1" applyBorder="1"/>
    <xf numFmtId="0" fontId="2" fillId="0" borderId="0" xfId="5" applyFill="1"/>
    <xf numFmtId="0" fontId="7" fillId="0" borderId="0" xfId="5" applyFont="1" applyFill="1" applyAlignment="1">
      <alignment horizontal="right"/>
    </xf>
    <xf numFmtId="3" fontId="2" fillId="0" borderId="0" xfId="5" applyNumberFormat="1" applyFill="1"/>
    <xf numFmtId="0" fontId="8" fillId="0" borderId="1" xfId="5" applyFont="1" applyFill="1" applyBorder="1" applyAlignment="1">
      <alignment horizontal="center" wrapText="1"/>
    </xf>
    <xf numFmtId="165" fontId="12" fillId="0" borderId="1" xfId="5" applyNumberFormat="1" applyFont="1" applyFill="1" applyBorder="1" applyAlignment="1">
      <alignment vertical="center"/>
    </xf>
    <xf numFmtId="3" fontId="2" fillId="0" borderId="16" xfId="5" applyNumberFormat="1" applyFill="1" applyBorder="1"/>
    <xf numFmtId="165" fontId="12" fillId="0" borderId="1" xfId="5" applyNumberFormat="1" applyFont="1" applyFill="1" applyBorder="1" applyAlignment="1">
      <alignment horizontal="right" vertical="center"/>
    </xf>
    <xf numFmtId="0" fontId="2" fillId="0" borderId="1" xfId="5" applyFill="1" applyBorder="1"/>
    <xf numFmtId="0" fontId="2" fillId="0" borderId="0" xfId="5" applyFill="1" applyBorder="1"/>
    <xf numFmtId="0" fontId="11" fillId="0" borderId="1" xfId="5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 wrapText="1"/>
    </xf>
    <xf numFmtId="0" fontId="16" fillId="0" borderId="0" xfId="5" applyFont="1" applyFill="1"/>
    <xf numFmtId="0" fontId="23" fillId="0" borderId="1" xfId="5" applyFont="1" applyFill="1" applyBorder="1" applyAlignment="1">
      <alignment vertical="center"/>
    </xf>
    <xf numFmtId="165" fontId="7" fillId="0" borderId="1" xfId="5" applyNumberFormat="1" applyFont="1" applyFill="1" applyBorder="1" applyAlignment="1">
      <alignment vertical="center"/>
    </xf>
    <xf numFmtId="165" fontId="22" fillId="0" borderId="1" xfId="5" applyNumberFormat="1" applyFont="1" applyFill="1" applyBorder="1" applyAlignment="1">
      <alignment vertical="center"/>
    </xf>
    <xf numFmtId="165" fontId="22" fillId="0" borderId="1" xfId="5" applyNumberFormat="1" applyFont="1" applyFill="1" applyBorder="1" applyAlignment="1">
      <alignment horizontal="right" vertical="center"/>
    </xf>
    <xf numFmtId="0" fontId="24" fillId="0" borderId="1" xfId="5" applyFont="1" applyFill="1" applyBorder="1" applyAlignment="1">
      <alignment vertical="center"/>
    </xf>
    <xf numFmtId="0" fontId="19" fillId="0" borderId="1" xfId="5" applyFont="1" applyFill="1" applyBorder="1" applyAlignment="1">
      <alignment horizontal="center" vertical="center"/>
    </xf>
    <xf numFmtId="165" fontId="11" fillId="0" borderId="1" xfId="5" applyNumberFormat="1" applyFont="1" applyFill="1" applyBorder="1" applyAlignment="1">
      <alignment vertical="center"/>
    </xf>
    <xf numFmtId="165" fontId="11" fillId="0" borderId="1" xfId="6" applyNumberFormat="1" applyFont="1" applyFill="1" applyBorder="1" applyAlignment="1">
      <alignment horizontal="right" vertical="center"/>
    </xf>
    <xf numFmtId="0" fontId="8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vertical="center"/>
    </xf>
    <xf numFmtId="165" fontId="11" fillId="0" borderId="1" xfId="5" applyNumberFormat="1" applyFont="1" applyFill="1" applyBorder="1" applyAlignment="1">
      <alignment horizontal="right" vertical="center"/>
    </xf>
    <xf numFmtId="164" fontId="11" fillId="0" borderId="1" xfId="5" applyNumberFormat="1" applyFont="1" applyFill="1" applyBorder="1"/>
    <xf numFmtId="0" fontId="25" fillId="0" borderId="0" xfId="5" applyFont="1" applyFill="1"/>
    <xf numFmtId="0" fontId="25" fillId="0" borderId="1" xfId="5" applyFont="1" applyFill="1" applyBorder="1"/>
    <xf numFmtId="3" fontId="20" fillId="0" borderId="1" xfId="5" applyNumberFormat="1" applyFont="1" applyFill="1" applyBorder="1"/>
    <xf numFmtId="0" fontId="20" fillId="0" borderId="16" xfId="5" applyFont="1" applyFill="1" applyBorder="1"/>
    <xf numFmtId="0" fontId="29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vertical="center"/>
    </xf>
    <xf numFmtId="0" fontId="25" fillId="0" borderId="1" xfId="5" applyFont="1" applyFill="1" applyBorder="1" applyAlignment="1">
      <alignment vertical="center"/>
    </xf>
    <xf numFmtId="0" fontId="20" fillId="0" borderId="1" xfId="5" applyFont="1" applyFill="1" applyBorder="1" applyAlignment="1">
      <alignment horizontal="left" vertical="center" wrapText="1"/>
    </xf>
    <xf numFmtId="4" fontId="13" fillId="0" borderId="1" xfId="5" applyNumberFormat="1" applyFont="1" applyFill="1" applyBorder="1" applyAlignment="1">
      <alignment horizontal="right" vertical="center"/>
    </xf>
    <xf numFmtId="3" fontId="20" fillId="0" borderId="1" xfId="5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4" fillId="3" borderId="1" xfId="0" applyNumberFormat="1" applyFont="1" applyFill="1" applyBorder="1"/>
    <xf numFmtId="165" fontId="5" fillId="3" borderId="1" xfId="0" applyNumberFormat="1" applyFont="1" applyFill="1" applyBorder="1"/>
    <xf numFmtId="0" fontId="4" fillId="0" borderId="1" xfId="0" applyFont="1" applyBorder="1" applyAlignment="1">
      <alignment horizontal="center" wrapText="1"/>
    </xf>
    <xf numFmtId="0" fontId="28" fillId="0" borderId="1" xfId="5" applyFont="1" applyFill="1" applyBorder="1" applyAlignment="1">
      <alignment vertical="center" wrapText="1"/>
    </xf>
    <xf numFmtId="0" fontId="35" fillId="0" borderId="1" xfId="5" applyFont="1" applyFill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165" fontId="4" fillId="0" borderId="11" xfId="0" applyNumberFormat="1" applyFont="1" applyFill="1" applyBorder="1"/>
    <xf numFmtId="0" fontId="5" fillId="0" borderId="3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11" fillId="0" borderId="1" xfId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 vertical="center" wrapText="1"/>
    </xf>
    <xf numFmtId="0" fontId="25" fillId="3" borderId="1" xfId="5" applyFont="1" applyFill="1" applyBorder="1" applyAlignment="1">
      <alignment horizontal="center"/>
    </xf>
    <xf numFmtId="0" fontId="13" fillId="3" borderId="1" xfId="5" applyFont="1" applyFill="1" applyBorder="1" applyAlignment="1">
      <alignment vertical="center" wrapText="1"/>
    </xf>
    <xf numFmtId="165" fontId="13" fillId="3" borderId="1" xfId="6" applyNumberFormat="1" applyFont="1" applyFill="1" applyBorder="1" applyAlignment="1">
      <alignment vertical="center"/>
    </xf>
    <xf numFmtId="165" fontId="13" fillId="3" borderId="1" xfId="6" applyNumberFormat="1" applyFont="1" applyFill="1" applyBorder="1" applyAlignment="1">
      <alignment horizontal="right" vertical="center"/>
    </xf>
    <xf numFmtId="165" fontId="13" fillId="3" borderId="1" xfId="5" applyNumberFormat="1" applyFont="1" applyFill="1" applyBorder="1" applyAlignment="1">
      <alignment vertical="center"/>
    </xf>
    <xf numFmtId="165" fontId="29" fillId="3" borderId="1" xfId="5" applyNumberFormat="1" applyFont="1" applyFill="1" applyBorder="1" applyAlignment="1">
      <alignment horizontal="right" vertical="center"/>
    </xf>
    <xf numFmtId="165" fontId="29" fillId="3" borderId="1" xfId="5" applyNumberFormat="1" applyFont="1" applyFill="1" applyBorder="1" applyAlignment="1">
      <alignment horizontal="right" vertical="center" wrapText="1"/>
    </xf>
    <xf numFmtId="3" fontId="29" fillId="3" borderId="1" xfId="5" applyNumberFormat="1" applyFont="1" applyFill="1" applyBorder="1" applyAlignment="1">
      <alignment horizontal="right" vertical="center" wrapText="1"/>
    </xf>
    <xf numFmtId="0" fontId="20" fillId="3" borderId="0" xfId="5" applyFont="1" applyFill="1"/>
    <xf numFmtId="0" fontId="13" fillId="3" borderId="1" xfId="5" applyFont="1" applyFill="1" applyBorder="1" applyAlignment="1">
      <alignment vertical="center"/>
    </xf>
    <xf numFmtId="165" fontId="13" fillId="3" borderId="1" xfId="5" applyNumberFormat="1" applyFont="1" applyFill="1" applyBorder="1" applyAlignment="1">
      <alignment horizontal="right" vertical="center"/>
    </xf>
    <xf numFmtId="0" fontId="8" fillId="3" borderId="1" xfId="1" applyFont="1" applyFill="1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0" fontId="21" fillId="3" borderId="1" xfId="5" applyFont="1" applyFill="1" applyBorder="1" applyAlignment="1">
      <alignment vertical="center"/>
    </xf>
    <xf numFmtId="165" fontId="12" fillId="3" borderId="1" xfId="5" applyNumberFormat="1" applyFont="1" applyFill="1" applyBorder="1" applyAlignment="1">
      <alignment horizontal="right" vertical="center"/>
    </xf>
    <xf numFmtId="165" fontId="21" fillId="3" borderId="1" xfId="5" applyNumberFormat="1" applyFont="1" applyFill="1" applyBorder="1" applyAlignment="1">
      <alignment vertical="center"/>
    </xf>
    <xf numFmtId="165" fontId="21" fillId="3" borderId="1" xfId="5" applyNumberFormat="1" applyFont="1" applyFill="1" applyBorder="1" applyAlignment="1">
      <alignment horizontal="right" vertical="center"/>
    </xf>
    <xf numFmtId="165" fontId="19" fillId="3" borderId="1" xfId="5" applyNumberFormat="1" applyFont="1" applyFill="1" applyBorder="1" applyAlignment="1">
      <alignment horizontal="right" vertical="center"/>
    </xf>
    <xf numFmtId="0" fontId="2" fillId="3" borderId="0" xfId="5" applyFill="1"/>
    <xf numFmtId="0" fontId="25" fillId="3" borderId="1" xfId="5" applyFont="1" applyFill="1" applyBorder="1"/>
    <xf numFmtId="3" fontId="20" fillId="3" borderId="1" xfId="5" applyNumberFormat="1" applyFont="1" applyFill="1" applyBorder="1"/>
    <xf numFmtId="0" fontId="20" fillId="3" borderId="16" xfId="5" applyFont="1" applyFill="1" applyBorder="1"/>
    <xf numFmtId="165" fontId="29" fillId="3" borderId="1" xfId="5" applyNumberFormat="1" applyFont="1" applyFill="1" applyBorder="1"/>
    <xf numFmtId="165" fontId="12" fillId="3" borderId="1" xfId="5" applyNumberFormat="1" applyFont="1" applyFill="1" applyBorder="1" applyAlignment="1">
      <alignment vertical="center"/>
    </xf>
    <xf numFmtId="3" fontId="2" fillId="3" borderId="16" xfId="5" applyNumberFormat="1" applyFill="1" applyBorder="1"/>
    <xf numFmtId="165" fontId="16" fillId="3" borderId="1" xfId="5" applyNumberFormat="1" applyFont="1" applyFill="1" applyBorder="1"/>
    <xf numFmtId="165" fontId="7" fillId="3" borderId="1" xfId="5" applyNumberFormat="1" applyFont="1" applyFill="1" applyBorder="1"/>
    <xf numFmtId="165" fontId="7" fillId="3" borderId="16" xfId="5" applyNumberFormat="1" applyFont="1" applyFill="1" applyBorder="1"/>
    <xf numFmtId="0" fontId="7" fillId="3" borderId="0" xfId="5" applyFont="1" applyFill="1"/>
    <xf numFmtId="0" fontId="12" fillId="3" borderId="1" xfId="5" applyFont="1" applyFill="1" applyBorder="1" applyAlignment="1">
      <alignment vertical="center"/>
    </xf>
    <xf numFmtId="165" fontId="7" fillId="3" borderId="1" xfId="5" applyNumberFormat="1" applyFont="1" applyFill="1" applyBorder="1" applyAlignment="1">
      <alignment vertical="center"/>
    </xf>
    <xf numFmtId="165" fontId="11" fillId="3" borderId="1" xfId="5" applyNumberFormat="1" applyFont="1" applyFill="1" applyBorder="1" applyAlignment="1">
      <alignment horizontal="right" vertical="center"/>
    </xf>
    <xf numFmtId="165" fontId="29" fillId="4" borderId="1" xfId="5" applyNumberFormat="1" applyFont="1" applyFill="1" applyBorder="1" applyAlignment="1">
      <alignment horizontal="right" vertical="center"/>
    </xf>
    <xf numFmtId="165" fontId="29" fillId="4" borderId="1" xfId="5" applyNumberFormat="1" applyFont="1" applyFill="1" applyBorder="1"/>
    <xf numFmtId="43" fontId="7" fillId="0" borderId="1" xfId="2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4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165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/>
    <xf numFmtId="165" fontId="5" fillId="0" borderId="9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165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/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3" xfId="0" applyFont="1" applyBorder="1" applyAlignment="1">
      <alignment horizontal="center"/>
    </xf>
    <xf numFmtId="165" fontId="7" fillId="0" borderId="0" xfId="1" applyNumberFormat="1" applyFont="1" applyFill="1" applyBorder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165" fontId="11" fillId="0" borderId="16" xfId="1" applyNumberFormat="1" applyFont="1" applyFill="1" applyBorder="1" applyAlignment="1">
      <alignment horizontal="center" vertical="center" wrapText="1"/>
    </xf>
    <xf numFmtId="165" fontId="11" fillId="0" borderId="24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0" fontId="7" fillId="0" borderId="18" xfId="5" applyFont="1" applyFill="1" applyBorder="1" applyAlignment="1">
      <alignment horizontal="right"/>
    </xf>
    <xf numFmtId="0" fontId="19" fillId="0" borderId="16" xfId="5" applyFont="1" applyFill="1" applyBorder="1" applyAlignment="1">
      <alignment horizontal="center" vertical="center" wrapText="1"/>
    </xf>
    <xf numFmtId="0" fontId="19" fillId="0" borderId="24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17" fillId="0" borderId="15" xfId="5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horizontal="center" vertical="center" wrapText="1"/>
    </xf>
    <xf numFmtId="0" fontId="17" fillId="0" borderId="26" xfId="5" applyFont="1" applyFill="1" applyBorder="1" applyAlignment="1">
      <alignment horizontal="center" vertical="center" wrapText="1"/>
    </xf>
    <xf numFmtId="0" fontId="17" fillId="0" borderId="25" xfId="5" applyFont="1" applyFill="1" applyBorder="1" applyAlignment="1">
      <alignment horizontal="center" vertical="center"/>
    </xf>
    <xf numFmtId="0" fontId="17" fillId="0" borderId="0" xfId="5" applyFont="1" applyFill="1" applyBorder="1" applyAlignment="1">
      <alignment horizontal="center" vertical="center"/>
    </xf>
    <xf numFmtId="0" fontId="17" fillId="0" borderId="27" xfId="5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right"/>
    </xf>
    <xf numFmtId="0" fontId="2" fillId="0" borderId="18" xfId="5" applyFill="1" applyBorder="1" applyAlignment="1">
      <alignment horizontal="right"/>
    </xf>
    <xf numFmtId="0" fontId="17" fillId="0" borderId="25" xfId="5" applyFont="1" applyBorder="1" applyAlignment="1">
      <alignment horizontal="center" vertical="center"/>
    </xf>
    <xf numFmtId="0" fontId="17" fillId="0" borderId="0" xfId="5" applyFont="1" applyBorder="1" applyAlignment="1">
      <alignment horizontal="center" vertical="center"/>
    </xf>
    <xf numFmtId="0" fontId="17" fillId="0" borderId="27" xfId="5" applyFont="1" applyBorder="1" applyAlignment="1">
      <alignment horizontal="center" vertical="center"/>
    </xf>
    <xf numFmtId="0" fontId="33" fillId="0" borderId="16" xfId="5" applyFont="1" applyBorder="1" applyAlignment="1">
      <alignment horizontal="center" vertical="center" wrapText="1"/>
    </xf>
    <xf numFmtId="0" fontId="33" fillId="0" borderId="24" xfId="5" applyFont="1" applyBorder="1" applyAlignment="1">
      <alignment horizontal="center" vertical="center" wrapText="1"/>
    </xf>
    <xf numFmtId="0" fontId="33" fillId="0" borderId="1" xfId="5" applyFont="1" applyBorder="1" applyAlignment="1">
      <alignment horizontal="center" vertical="center" wrapText="1"/>
    </xf>
    <xf numFmtId="0" fontId="26" fillId="0" borderId="1" xfId="5" applyFont="1" applyFill="1" applyBorder="1" applyAlignment="1">
      <alignment horizontal="center" vertical="center" wrapText="1"/>
    </xf>
    <xf numFmtId="0" fontId="26" fillId="0" borderId="1" xfId="5" applyFont="1" applyFill="1" applyBorder="1" applyAlignment="1">
      <alignment horizontal="center" vertical="center"/>
    </xf>
    <xf numFmtId="0" fontId="20" fillId="0" borderId="18" xfId="5" applyFont="1" applyFill="1" applyBorder="1" applyAlignment="1">
      <alignment horizontal="center"/>
    </xf>
    <xf numFmtId="0" fontId="29" fillId="0" borderId="16" xfId="5" applyFont="1" applyFill="1" applyBorder="1" applyAlignment="1">
      <alignment horizontal="center" vertical="center" wrapText="1"/>
    </xf>
    <xf numFmtId="0" fontId="29" fillId="0" borderId="24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0" fontId="11" fillId="0" borderId="16" xfId="5" applyFont="1" applyFill="1" applyBorder="1" applyAlignment="1">
      <alignment horizontal="center" vertical="center" wrapText="1"/>
    </xf>
    <xf numFmtId="0" fontId="11" fillId="0" borderId="24" xfId="5" applyFont="1" applyFill="1" applyBorder="1" applyAlignment="1">
      <alignment horizontal="center" vertical="center" wrapText="1"/>
    </xf>
    <xf numFmtId="0" fontId="11" fillId="0" borderId="15" xfId="5" applyFont="1" applyFill="1" applyBorder="1" applyAlignment="1">
      <alignment horizontal="center" vertical="center" wrapText="1"/>
    </xf>
    <xf numFmtId="0" fontId="11" fillId="0" borderId="18" xfId="5" applyFont="1" applyFill="1" applyBorder="1" applyAlignment="1">
      <alignment horizontal="center" vertical="center" wrapText="1"/>
    </xf>
    <xf numFmtId="0" fontId="11" fillId="0" borderId="26" xfId="5" applyFont="1" applyFill="1" applyBorder="1" applyAlignment="1">
      <alignment horizontal="center" vertical="center" wrapText="1"/>
    </xf>
    <xf numFmtId="0" fontId="20" fillId="0" borderId="18" xfId="5" applyFont="1" applyFill="1" applyBorder="1" applyAlignment="1">
      <alignment horizontal="right"/>
    </xf>
    <xf numFmtId="0" fontId="26" fillId="0" borderId="25" xfId="5" applyFont="1" applyFill="1" applyBorder="1" applyAlignment="1">
      <alignment horizontal="center" vertical="center" wrapText="1"/>
    </xf>
    <xf numFmtId="0" fontId="26" fillId="0" borderId="0" xfId="5" applyFont="1" applyFill="1" applyBorder="1" applyAlignment="1">
      <alignment horizontal="center" vertical="center" wrapText="1"/>
    </xf>
    <xf numFmtId="0" fontId="26" fillId="0" borderId="27" xfId="5" applyFont="1" applyFill="1" applyBorder="1" applyAlignment="1">
      <alignment horizontal="center" vertical="center" wrapText="1"/>
    </xf>
    <xf numFmtId="0" fontId="29" fillId="0" borderId="1" xfId="5" applyFont="1" applyFill="1" applyBorder="1" applyAlignment="1">
      <alignment horizontal="center" vertical="center"/>
    </xf>
    <xf numFmtId="0" fontId="20" fillId="2" borderId="18" xfId="5" applyFont="1" applyFill="1" applyBorder="1" applyAlignment="1">
      <alignment horizontal="right"/>
    </xf>
    <xf numFmtId="0" fontId="26" fillId="2" borderId="25" xfId="5" applyFont="1" applyFill="1" applyBorder="1" applyAlignment="1">
      <alignment horizontal="center" vertical="center" wrapText="1"/>
    </xf>
    <xf numFmtId="0" fontId="26" fillId="2" borderId="0" xfId="5" applyFont="1" applyFill="1" applyBorder="1" applyAlignment="1">
      <alignment horizontal="center" vertical="center" wrapText="1"/>
    </xf>
    <xf numFmtId="0" fontId="26" fillId="2" borderId="27" xfId="5" applyFont="1" applyFill="1" applyBorder="1" applyAlignment="1">
      <alignment horizontal="center" vertical="center" wrapText="1"/>
    </xf>
    <xf numFmtId="0" fontId="11" fillId="2" borderId="16" xfId="5" applyFont="1" applyFill="1" applyBorder="1" applyAlignment="1">
      <alignment horizontal="center" vertical="center" wrapText="1"/>
    </xf>
    <xf numFmtId="0" fontId="11" fillId="2" borderId="24" xfId="5" applyFont="1" applyFill="1" applyBorder="1" applyAlignment="1">
      <alignment horizontal="center" vertical="center" wrapText="1"/>
    </xf>
    <xf numFmtId="0" fontId="29" fillId="2" borderId="1" xfId="5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</cellXfs>
  <cellStyles count="7">
    <cellStyle name="Ezres 2" xfId="2"/>
    <cellStyle name="Ezres 3" xfId="6"/>
    <cellStyle name="Normál" xfId="0" builtinId="0"/>
    <cellStyle name="Normál 2" xfId="1"/>
    <cellStyle name="Normál 3" xfId="3"/>
    <cellStyle name="Normál 4" xfId="5"/>
    <cellStyle name="Százalék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27"/>
  <sheetViews>
    <sheetView topLeftCell="A97" workbookViewId="0">
      <selection activeCell="C131" sqref="C131"/>
    </sheetView>
  </sheetViews>
  <sheetFormatPr defaultRowHeight="15.75" x14ac:dyDescent="0.25"/>
  <cols>
    <col min="1" max="1" width="9.140625" style="2"/>
    <col min="2" max="2" width="8.7109375" style="12" customWidth="1"/>
    <col min="3" max="3" width="60.42578125" style="2" customWidth="1"/>
    <col min="4" max="4" width="17.28515625" style="166" customWidth="1"/>
    <col min="5" max="5" width="16.5703125" style="166" customWidth="1"/>
    <col min="6" max="16384" width="9.140625" style="2"/>
  </cols>
  <sheetData>
    <row r="1" spans="1:5" x14ac:dyDescent="0.25">
      <c r="B1" s="380" t="s">
        <v>393</v>
      </c>
      <c r="C1" s="380"/>
      <c r="D1" s="380"/>
      <c r="E1" s="380"/>
    </row>
    <row r="2" spans="1:5" s="1" customFormat="1" x14ac:dyDescent="0.25">
      <c r="A2" s="379" t="s">
        <v>0</v>
      </c>
      <c r="B2" s="379"/>
      <c r="C2" s="379"/>
      <c r="D2" s="379"/>
      <c r="E2" s="379"/>
    </row>
    <row r="3" spans="1:5" s="1" customFormat="1" x14ac:dyDescent="0.25">
      <c r="A3" s="379" t="s">
        <v>394</v>
      </c>
      <c r="B3" s="379"/>
      <c r="C3" s="379"/>
      <c r="D3" s="379"/>
      <c r="E3" s="379"/>
    </row>
    <row r="4" spans="1:5" s="1" customFormat="1" x14ac:dyDescent="0.25">
      <c r="A4" s="379" t="s">
        <v>1</v>
      </c>
      <c r="B4" s="379"/>
      <c r="C4" s="379"/>
      <c r="D4" s="379"/>
      <c r="E4" s="379"/>
    </row>
    <row r="5" spans="1:5" s="1" customFormat="1" ht="16.5" thickBot="1" x14ac:dyDescent="0.3">
      <c r="B5" s="18" t="s">
        <v>86</v>
      </c>
      <c r="D5" s="159"/>
      <c r="E5" s="161"/>
    </row>
    <row r="6" spans="1:5" s="3" customFormat="1" ht="16.5" thickBot="1" x14ac:dyDescent="0.3">
      <c r="A6" s="176"/>
      <c r="B6" s="5">
        <v>1</v>
      </c>
      <c r="C6" s="6">
        <v>2</v>
      </c>
      <c r="D6" s="201">
        <v>3</v>
      </c>
      <c r="E6" s="229">
        <v>4</v>
      </c>
    </row>
    <row r="7" spans="1:5" s="1" customFormat="1" ht="32.25" thickBot="1" x14ac:dyDescent="0.3">
      <c r="B7" s="7" t="s">
        <v>4</v>
      </c>
      <c r="C7" s="6" t="s">
        <v>2</v>
      </c>
      <c r="D7" s="203" t="s">
        <v>395</v>
      </c>
      <c r="E7" s="230" t="s">
        <v>396</v>
      </c>
    </row>
    <row r="8" spans="1:5" s="1" customFormat="1" ht="16.5" thickBot="1" x14ac:dyDescent="0.3">
      <c r="B8" s="14" t="s">
        <v>3</v>
      </c>
      <c r="C8" s="188" t="s">
        <v>16</v>
      </c>
      <c r="D8" s="160">
        <f>SUM(D9:D14)</f>
        <v>289048.07</v>
      </c>
      <c r="E8" s="169">
        <f>SUM(E9:E14)</f>
        <v>301656.07</v>
      </c>
    </row>
    <row r="9" spans="1:5" x14ac:dyDescent="0.25">
      <c r="B9" s="15" t="s">
        <v>6</v>
      </c>
      <c r="C9" s="8" t="s">
        <v>30</v>
      </c>
      <c r="D9" s="215">
        <v>100842.69</v>
      </c>
      <c r="E9" s="215">
        <v>100842.69</v>
      </c>
    </row>
    <row r="10" spans="1:5" x14ac:dyDescent="0.25">
      <c r="B10" s="16" t="s">
        <v>7</v>
      </c>
      <c r="C10" s="4" t="s">
        <v>31</v>
      </c>
      <c r="D10" s="216">
        <v>76435.8</v>
      </c>
      <c r="E10" s="216">
        <v>76435.8</v>
      </c>
    </row>
    <row r="11" spans="1:5" x14ac:dyDescent="0.25">
      <c r="B11" s="16" t="s">
        <v>8</v>
      </c>
      <c r="C11" s="4" t="s">
        <v>316</v>
      </c>
      <c r="D11" s="216">
        <v>107425.68</v>
      </c>
      <c r="E11" s="216">
        <v>107425.68</v>
      </c>
    </row>
    <row r="12" spans="1:5" x14ac:dyDescent="0.25">
      <c r="B12" s="16" t="s">
        <v>9</v>
      </c>
      <c r="C12" s="4" t="s">
        <v>33</v>
      </c>
      <c r="D12" s="216">
        <v>4343.8999999999996</v>
      </c>
      <c r="E12" s="216">
        <v>4343.8999999999996</v>
      </c>
    </row>
    <row r="13" spans="1:5" x14ac:dyDescent="0.25">
      <c r="B13" s="16" t="s">
        <v>10</v>
      </c>
      <c r="C13" s="4" t="s">
        <v>34</v>
      </c>
      <c r="D13" s="216"/>
      <c r="E13" s="163">
        <v>12608</v>
      </c>
    </row>
    <row r="14" spans="1:5" ht="16.5" thickBot="1" x14ac:dyDescent="0.3">
      <c r="B14" s="17" t="s">
        <v>11</v>
      </c>
      <c r="C14" s="10" t="s">
        <v>354</v>
      </c>
      <c r="D14" s="217"/>
      <c r="E14" s="163"/>
    </row>
    <row r="15" spans="1:5" s="1" customFormat="1" ht="16.5" thickBot="1" x14ac:dyDescent="0.3">
      <c r="B15" s="14" t="s">
        <v>5</v>
      </c>
      <c r="C15" s="9" t="s">
        <v>39</v>
      </c>
      <c r="D15" s="160">
        <f>SUM(D16:D17)</f>
        <v>111583.408</v>
      </c>
      <c r="E15" s="169">
        <f>SUM(E16:E17)</f>
        <v>131400.016</v>
      </c>
    </row>
    <row r="16" spans="1:5" x14ac:dyDescent="0.25">
      <c r="B16" s="15" t="s">
        <v>12</v>
      </c>
      <c r="C16" s="8" t="s">
        <v>36</v>
      </c>
      <c r="D16" s="215"/>
      <c r="E16" s="163"/>
    </row>
    <row r="17" spans="2:5" x14ac:dyDescent="0.25">
      <c r="B17" s="16" t="s">
        <v>13</v>
      </c>
      <c r="C17" s="4" t="s">
        <v>37</v>
      </c>
      <c r="D17" s="216">
        <v>111583.408</v>
      </c>
      <c r="E17" s="163">
        <v>131400.016</v>
      </c>
    </row>
    <row r="18" spans="2:5" ht="16.5" thickBot="1" x14ac:dyDescent="0.3">
      <c r="B18" s="17" t="s">
        <v>14</v>
      </c>
      <c r="C18" s="10" t="s">
        <v>38</v>
      </c>
      <c r="D18" s="217">
        <v>20830.810000000001</v>
      </c>
      <c r="E18" s="163">
        <v>20830.810000000001</v>
      </c>
    </row>
    <row r="19" spans="2:5" s="1" customFormat="1" ht="16.5" thickBot="1" x14ac:dyDescent="0.3">
      <c r="B19" s="14" t="s">
        <v>15</v>
      </c>
      <c r="C19" s="9" t="s">
        <v>43</v>
      </c>
      <c r="D19" s="160">
        <f>SUM(D20:D21)</f>
        <v>117562.95</v>
      </c>
      <c r="E19" s="169">
        <f>SUM(E20:E21)</f>
        <v>118980.39</v>
      </c>
    </row>
    <row r="20" spans="2:5" x14ac:dyDescent="0.25">
      <c r="B20" s="15" t="s">
        <v>17</v>
      </c>
      <c r="C20" s="8" t="s">
        <v>40</v>
      </c>
      <c r="D20" s="215"/>
      <c r="E20" s="215"/>
    </row>
    <row r="21" spans="2:5" x14ac:dyDescent="0.25">
      <c r="B21" s="16" t="s">
        <v>18</v>
      </c>
      <c r="C21" s="4" t="s">
        <v>41</v>
      </c>
      <c r="D21" s="216">
        <v>117562.95</v>
      </c>
      <c r="E21" s="216">
        <v>118980.39</v>
      </c>
    </row>
    <row r="22" spans="2:5" ht="16.5" thickBot="1" x14ac:dyDescent="0.3">
      <c r="B22" s="17" t="s">
        <v>19</v>
      </c>
      <c r="C22" s="10" t="s">
        <v>42</v>
      </c>
      <c r="D22" s="217">
        <v>115562.95</v>
      </c>
      <c r="E22" s="217">
        <v>116980.39</v>
      </c>
    </row>
    <row r="23" spans="2:5" s="1" customFormat="1" ht="16.5" thickBot="1" x14ac:dyDescent="0.3">
      <c r="B23" s="14" t="s">
        <v>20</v>
      </c>
      <c r="C23" s="9" t="s">
        <v>21</v>
      </c>
      <c r="D23" s="160">
        <f>D24+D27+D28+D29</f>
        <v>118432</v>
      </c>
      <c r="E23" s="169">
        <f>E24+E27+E28+E29</f>
        <v>118432</v>
      </c>
    </row>
    <row r="24" spans="2:5" x14ac:dyDescent="0.25">
      <c r="B24" s="15" t="s">
        <v>22</v>
      </c>
      <c r="C24" s="8" t="s">
        <v>44</v>
      </c>
      <c r="D24" s="215">
        <f>D25+D26</f>
        <v>106050</v>
      </c>
      <c r="E24" s="205">
        <f>E25+E26</f>
        <v>106050</v>
      </c>
    </row>
    <row r="25" spans="2:5" x14ac:dyDescent="0.25">
      <c r="B25" s="16" t="s">
        <v>23</v>
      </c>
      <c r="C25" s="4" t="s">
        <v>491</v>
      </c>
      <c r="D25" s="216">
        <v>50</v>
      </c>
      <c r="E25" s="216">
        <v>50</v>
      </c>
    </row>
    <row r="26" spans="2:5" x14ac:dyDescent="0.25">
      <c r="B26" s="16" t="s">
        <v>24</v>
      </c>
      <c r="C26" s="4" t="s">
        <v>46</v>
      </c>
      <c r="D26" s="216">
        <v>106000</v>
      </c>
      <c r="E26" s="216">
        <v>106000</v>
      </c>
    </row>
    <row r="27" spans="2:5" x14ac:dyDescent="0.25">
      <c r="B27" s="16" t="s">
        <v>26</v>
      </c>
      <c r="C27" s="4" t="s">
        <v>47</v>
      </c>
      <c r="D27" s="216">
        <v>11000</v>
      </c>
      <c r="E27" s="216">
        <v>11000</v>
      </c>
    </row>
    <row r="28" spans="2:5" x14ac:dyDescent="0.25">
      <c r="B28" s="16" t="s">
        <v>27</v>
      </c>
      <c r="C28" s="4" t="s">
        <v>48</v>
      </c>
      <c r="D28" s="216">
        <v>2</v>
      </c>
      <c r="E28" s="216">
        <v>2</v>
      </c>
    </row>
    <row r="29" spans="2:5" ht="16.5" thickBot="1" x14ac:dyDescent="0.3">
      <c r="B29" s="17" t="s">
        <v>28</v>
      </c>
      <c r="C29" s="10" t="s">
        <v>49</v>
      </c>
      <c r="D29" s="217">
        <v>1380</v>
      </c>
      <c r="E29" s="217">
        <v>1380</v>
      </c>
    </row>
    <row r="30" spans="2:5" s="1" customFormat="1" ht="16.5" thickBot="1" x14ac:dyDescent="0.3">
      <c r="B30" s="14" t="s">
        <v>29</v>
      </c>
      <c r="C30" s="9" t="s">
        <v>50</v>
      </c>
      <c r="D30" s="160">
        <v>66433.5</v>
      </c>
      <c r="E30" s="160">
        <v>66433.5</v>
      </c>
    </row>
    <row r="31" spans="2:5" s="1" customFormat="1" ht="16.5" thickBot="1" x14ac:dyDescent="0.3">
      <c r="B31" s="19" t="s">
        <v>51</v>
      </c>
      <c r="C31" s="20" t="s">
        <v>52</v>
      </c>
      <c r="D31" s="218"/>
      <c r="E31" s="169"/>
    </row>
    <row r="32" spans="2:5" s="1" customFormat="1" ht="16.5" thickBot="1" x14ac:dyDescent="0.3">
      <c r="B32" s="14" t="s">
        <v>53</v>
      </c>
      <c r="C32" s="9" t="s">
        <v>160</v>
      </c>
      <c r="D32" s="160">
        <v>258</v>
      </c>
      <c r="E32" s="160">
        <v>258</v>
      </c>
    </row>
    <row r="33" spans="2:5" s="1" customFormat="1" ht="16.5" thickBot="1" x14ac:dyDescent="0.3">
      <c r="B33" s="14" t="s">
        <v>55</v>
      </c>
      <c r="C33" s="9" t="s">
        <v>56</v>
      </c>
      <c r="D33" s="160"/>
      <c r="E33" s="169"/>
    </row>
    <row r="34" spans="2:5" s="1" customFormat="1" ht="16.5" thickBot="1" x14ac:dyDescent="0.3">
      <c r="B34" s="14" t="s">
        <v>57</v>
      </c>
      <c r="C34" s="9" t="s">
        <v>136</v>
      </c>
      <c r="D34" s="160">
        <f>D8+D15+D19+D23+D30+D31+D32+D33</f>
        <v>703317.92800000007</v>
      </c>
      <c r="E34" s="169">
        <f>E8+E15+E19+E23+E30+E31+E32+E33</f>
        <v>737159.97600000002</v>
      </c>
    </row>
    <row r="35" spans="2:5" s="1" customFormat="1" ht="16.5" thickBot="1" x14ac:dyDescent="0.3">
      <c r="B35" s="14" t="s">
        <v>58</v>
      </c>
      <c r="C35" s="9" t="s">
        <v>59</v>
      </c>
      <c r="D35" s="160">
        <f>SUM(D36:D38)</f>
        <v>0</v>
      </c>
      <c r="E35" s="169">
        <f>SUM(E36:E38)</f>
        <v>0</v>
      </c>
    </row>
    <row r="36" spans="2:5" x14ac:dyDescent="0.25">
      <c r="B36" s="15" t="s">
        <v>60</v>
      </c>
      <c r="C36" s="8" t="s">
        <v>61</v>
      </c>
      <c r="D36" s="215"/>
      <c r="E36" s="162"/>
    </row>
    <row r="37" spans="2:5" x14ac:dyDescent="0.25">
      <c r="B37" s="16" t="s">
        <v>62</v>
      </c>
      <c r="C37" s="4" t="s">
        <v>63</v>
      </c>
      <c r="D37" s="216"/>
      <c r="E37" s="163"/>
    </row>
    <row r="38" spans="2:5" ht="16.5" thickBot="1" x14ac:dyDescent="0.3">
      <c r="B38" s="17" t="s">
        <v>64</v>
      </c>
      <c r="C38" s="10" t="s">
        <v>65</v>
      </c>
      <c r="D38" s="217"/>
      <c r="E38" s="164"/>
    </row>
    <row r="39" spans="2:5" s="1" customFormat="1" ht="16.5" thickBot="1" x14ac:dyDescent="0.3">
      <c r="B39" s="14" t="s">
        <v>66</v>
      </c>
      <c r="C39" s="9" t="s">
        <v>67</v>
      </c>
      <c r="D39" s="160"/>
      <c r="E39" s="169"/>
    </row>
    <row r="40" spans="2:5" s="1" customFormat="1" ht="16.5" thickBot="1" x14ac:dyDescent="0.3">
      <c r="B40" s="14" t="s">
        <v>68</v>
      </c>
      <c r="C40" s="9" t="s">
        <v>391</v>
      </c>
      <c r="D40" s="160">
        <v>659949.11</v>
      </c>
      <c r="E40" s="169">
        <v>682898.61499999999</v>
      </c>
    </row>
    <row r="41" spans="2:5" s="1" customFormat="1" ht="16.5" thickBot="1" x14ac:dyDescent="0.3">
      <c r="B41" s="14" t="s">
        <v>70</v>
      </c>
      <c r="C41" s="9" t="s">
        <v>71</v>
      </c>
      <c r="D41" s="160">
        <f>D42+D43</f>
        <v>0</v>
      </c>
      <c r="E41" s="169">
        <v>0</v>
      </c>
    </row>
    <row r="42" spans="2:5" x14ac:dyDescent="0.25">
      <c r="B42" s="15" t="s">
        <v>72</v>
      </c>
      <c r="C42" s="8" t="s">
        <v>73</v>
      </c>
      <c r="D42" s="215"/>
      <c r="E42" s="162"/>
    </row>
    <row r="43" spans="2:5" ht="16.5" thickBot="1" x14ac:dyDescent="0.3">
      <c r="B43" s="17" t="s">
        <v>74</v>
      </c>
      <c r="C43" s="10" t="s">
        <v>75</v>
      </c>
      <c r="D43" s="217"/>
      <c r="E43" s="164"/>
    </row>
    <row r="44" spans="2:5" s="1" customFormat="1" ht="16.5" thickBot="1" x14ac:dyDescent="0.3">
      <c r="B44" s="14" t="s">
        <v>76</v>
      </c>
      <c r="C44" s="9" t="s">
        <v>77</v>
      </c>
      <c r="D44" s="160"/>
      <c r="E44" s="169"/>
    </row>
    <row r="45" spans="2:5" s="1" customFormat="1" ht="16.5" thickBot="1" x14ac:dyDescent="0.3">
      <c r="B45" s="14" t="s">
        <v>78</v>
      </c>
      <c r="C45" s="9" t="s">
        <v>79</v>
      </c>
      <c r="D45" s="160"/>
      <c r="E45" s="169"/>
    </row>
    <row r="46" spans="2:5" s="1" customFormat="1" ht="16.5" thickBot="1" x14ac:dyDescent="0.3">
      <c r="B46" s="14" t="s">
        <v>80</v>
      </c>
      <c r="C46" s="9" t="s">
        <v>81</v>
      </c>
      <c r="D46" s="160"/>
      <c r="E46" s="231"/>
    </row>
    <row r="47" spans="2:5" s="1" customFormat="1" ht="16.5" thickBot="1" x14ac:dyDescent="0.3">
      <c r="B47" s="14" t="s">
        <v>82</v>
      </c>
      <c r="C47" s="9" t="s">
        <v>83</v>
      </c>
      <c r="D47" s="160">
        <f>D35+D39+D40+D41+D44+D45+D46</f>
        <v>659949.11</v>
      </c>
      <c r="E47" s="169">
        <f>E35+E39+E40+E41+E44+E45+E46</f>
        <v>682898.61499999999</v>
      </c>
    </row>
    <row r="48" spans="2:5" s="1" customFormat="1" ht="32.25" thickBot="1" x14ac:dyDescent="0.3">
      <c r="B48" s="14" t="s">
        <v>84</v>
      </c>
      <c r="C48" s="11" t="s">
        <v>85</v>
      </c>
      <c r="D48" s="160">
        <f>D34+D47</f>
        <v>1363267.0380000002</v>
      </c>
      <c r="E48" s="169">
        <f>E34+E47</f>
        <v>1420058.591</v>
      </c>
    </row>
    <row r="50" spans="2:5" x14ac:dyDescent="0.25">
      <c r="B50" s="379" t="s">
        <v>87</v>
      </c>
      <c r="C50" s="379"/>
      <c r="D50" s="379"/>
    </row>
    <row r="51" spans="2:5" ht="16.5" thickBot="1" x14ac:dyDescent="0.3">
      <c r="B51" s="18" t="s">
        <v>88</v>
      </c>
      <c r="C51" s="1"/>
      <c r="D51" s="161"/>
    </row>
    <row r="52" spans="2:5" s="199" customFormat="1" ht="32.25" thickBot="1" x14ac:dyDescent="0.3">
      <c r="B52" s="7" t="s">
        <v>4</v>
      </c>
      <c r="C52" s="6" t="s">
        <v>89</v>
      </c>
      <c r="D52" s="203" t="s">
        <v>395</v>
      </c>
      <c r="E52" s="232" t="s">
        <v>396</v>
      </c>
    </row>
    <row r="53" spans="2:5" ht="16.5" thickBot="1" x14ac:dyDescent="0.3">
      <c r="B53" s="14" t="s">
        <v>3</v>
      </c>
      <c r="C53" s="188" t="s">
        <v>107</v>
      </c>
      <c r="D53" s="160">
        <f>D54+D55+D56+D57+D58+D64</f>
        <v>743505.853</v>
      </c>
      <c r="E53" s="169">
        <f>E54+E55+E56+E57+E58+E64</f>
        <v>775617.99800000002</v>
      </c>
    </row>
    <row r="54" spans="2:5" x14ac:dyDescent="0.25">
      <c r="B54" s="21" t="s">
        <v>6</v>
      </c>
      <c r="C54" s="8" t="s">
        <v>90</v>
      </c>
      <c r="D54" s="162">
        <v>351143.73</v>
      </c>
      <c r="E54" s="163">
        <v>374316.33</v>
      </c>
    </row>
    <row r="55" spans="2:5" x14ac:dyDescent="0.25">
      <c r="B55" s="22" t="s">
        <v>7</v>
      </c>
      <c r="C55" s="4" t="s">
        <v>91</v>
      </c>
      <c r="D55" s="163">
        <v>63075.248</v>
      </c>
      <c r="E55" s="163">
        <v>65833.281000000003</v>
      </c>
    </row>
    <row r="56" spans="2:5" x14ac:dyDescent="0.25">
      <c r="B56" s="22" t="s">
        <v>8</v>
      </c>
      <c r="C56" s="4" t="s">
        <v>92</v>
      </c>
      <c r="D56" s="163">
        <v>248725.177</v>
      </c>
      <c r="E56" s="163">
        <v>249468.33300000001</v>
      </c>
    </row>
    <row r="57" spans="2:5" x14ac:dyDescent="0.25">
      <c r="B57" s="22" t="s">
        <v>9</v>
      </c>
      <c r="C57" s="4" t="s">
        <v>93</v>
      </c>
      <c r="D57" s="163">
        <v>5300</v>
      </c>
      <c r="E57" s="163">
        <v>5300</v>
      </c>
    </row>
    <row r="58" spans="2:5" x14ac:dyDescent="0.25">
      <c r="B58" s="22" t="s">
        <v>10</v>
      </c>
      <c r="C58" s="4" t="s">
        <v>94</v>
      </c>
      <c r="D58" s="163">
        <f>SUM(D59:D63)</f>
        <v>44118.303</v>
      </c>
      <c r="E58" s="163">
        <f>SUM(E59:E63)</f>
        <v>44735.421000000002</v>
      </c>
    </row>
    <row r="59" spans="2:5" x14ac:dyDescent="0.25">
      <c r="B59" s="22" t="s">
        <v>11</v>
      </c>
      <c r="C59" s="23" t="s">
        <v>95</v>
      </c>
      <c r="D59" s="163"/>
      <c r="E59" s="163"/>
    </row>
    <row r="60" spans="2:5" x14ac:dyDescent="0.25">
      <c r="B60" s="22" t="s">
        <v>96</v>
      </c>
      <c r="C60" s="4" t="s">
        <v>102</v>
      </c>
      <c r="D60" s="163"/>
      <c r="E60" s="163"/>
    </row>
    <row r="61" spans="2:5" x14ac:dyDescent="0.25">
      <c r="B61" s="22" t="s">
        <v>97</v>
      </c>
      <c r="C61" s="4" t="s">
        <v>137</v>
      </c>
      <c r="D61" s="163"/>
      <c r="E61" s="163"/>
    </row>
    <row r="62" spans="2:5" x14ac:dyDescent="0.25">
      <c r="B62" s="22" t="s">
        <v>98</v>
      </c>
      <c r="C62" s="4" t="s">
        <v>138</v>
      </c>
      <c r="D62" s="163">
        <v>22284.203000000001</v>
      </c>
      <c r="E62" s="163">
        <v>23421.321</v>
      </c>
    </row>
    <row r="63" spans="2:5" x14ac:dyDescent="0.25">
      <c r="B63" s="22" t="s">
        <v>99</v>
      </c>
      <c r="C63" s="4" t="s">
        <v>139</v>
      </c>
      <c r="D63" s="163">
        <v>21834.1</v>
      </c>
      <c r="E63" s="163">
        <v>21314.1</v>
      </c>
    </row>
    <row r="64" spans="2:5" x14ac:dyDescent="0.25">
      <c r="B64" s="22" t="s">
        <v>100</v>
      </c>
      <c r="C64" s="4" t="s">
        <v>101</v>
      </c>
      <c r="D64" s="163">
        <f>SUM(D65:D66)</f>
        <v>31143.394999999997</v>
      </c>
      <c r="E64" s="163">
        <f>SUM(E65:E66)</f>
        <v>35964.633000000002</v>
      </c>
    </row>
    <row r="65" spans="2:5" x14ac:dyDescent="0.25">
      <c r="B65" s="22" t="s">
        <v>103</v>
      </c>
      <c r="C65" s="4" t="s">
        <v>104</v>
      </c>
      <c r="D65" s="163">
        <v>5778.0079999999998</v>
      </c>
      <c r="E65" s="163">
        <v>10599.245999999999</v>
      </c>
    </row>
    <row r="66" spans="2:5" ht="16.5" thickBot="1" x14ac:dyDescent="0.3">
      <c r="B66" s="25" t="s">
        <v>105</v>
      </c>
      <c r="C66" s="10" t="s">
        <v>106</v>
      </c>
      <c r="D66" s="164">
        <v>25365.386999999999</v>
      </c>
      <c r="E66" s="163">
        <v>25365.386999999999</v>
      </c>
    </row>
    <row r="67" spans="2:5" ht="16.5" thickBot="1" x14ac:dyDescent="0.3">
      <c r="B67" s="14" t="s">
        <v>5</v>
      </c>
      <c r="C67" s="188" t="s">
        <v>120</v>
      </c>
      <c r="D67" s="160">
        <f>D68+D70+D72</f>
        <v>604409.86200000008</v>
      </c>
      <c r="E67" s="169">
        <f>E68+E70+E72</f>
        <v>629089.27</v>
      </c>
    </row>
    <row r="68" spans="2:5" x14ac:dyDescent="0.25">
      <c r="B68" s="21" t="s">
        <v>12</v>
      </c>
      <c r="C68" s="8" t="s">
        <v>108</v>
      </c>
      <c r="D68" s="162">
        <v>575368.06200000003</v>
      </c>
      <c r="E68" s="163">
        <v>546847.06099999999</v>
      </c>
    </row>
    <row r="69" spans="2:5" x14ac:dyDescent="0.25">
      <c r="B69" s="22" t="s">
        <v>109</v>
      </c>
      <c r="C69" s="4" t="s">
        <v>110</v>
      </c>
      <c r="D69" s="163">
        <v>568754.88199999998</v>
      </c>
      <c r="E69" s="163">
        <v>539917.21499999997</v>
      </c>
    </row>
    <row r="70" spans="2:5" x14ac:dyDescent="0.25">
      <c r="B70" s="22" t="s">
        <v>14</v>
      </c>
      <c r="C70" s="4" t="s">
        <v>111</v>
      </c>
      <c r="D70" s="163">
        <v>28041.8</v>
      </c>
      <c r="E70" s="163">
        <v>81242.209000000003</v>
      </c>
    </row>
    <row r="71" spans="2:5" x14ac:dyDescent="0.25">
      <c r="B71" s="22" t="s">
        <v>112</v>
      </c>
      <c r="C71" s="4" t="s">
        <v>113</v>
      </c>
      <c r="D71" s="163">
        <v>23859</v>
      </c>
      <c r="E71" s="163">
        <v>77059.409</v>
      </c>
    </row>
    <row r="72" spans="2:5" x14ac:dyDescent="0.25">
      <c r="B72" s="22" t="s">
        <v>114</v>
      </c>
      <c r="C72" s="4" t="s">
        <v>115</v>
      </c>
      <c r="D72" s="163">
        <f>SUM(D73:D74)</f>
        <v>1000</v>
      </c>
      <c r="E72" s="163">
        <f>SUM(E73:E74)</f>
        <v>1000</v>
      </c>
    </row>
    <row r="73" spans="2:5" x14ac:dyDescent="0.25">
      <c r="B73" s="22" t="s">
        <v>116</v>
      </c>
      <c r="C73" s="4" t="s">
        <v>117</v>
      </c>
      <c r="D73" s="163"/>
      <c r="E73" s="163"/>
    </row>
    <row r="74" spans="2:5" ht="16.5" thickBot="1" x14ac:dyDescent="0.3">
      <c r="B74" s="25" t="s">
        <v>118</v>
      </c>
      <c r="C74" s="10" t="s">
        <v>119</v>
      </c>
      <c r="D74" s="164">
        <v>1000</v>
      </c>
      <c r="E74" s="163">
        <v>1000</v>
      </c>
    </row>
    <row r="75" spans="2:5" ht="16.5" thickBot="1" x14ac:dyDescent="0.3">
      <c r="B75" s="14" t="s">
        <v>15</v>
      </c>
      <c r="C75" s="9" t="s">
        <v>121</v>
      </c>
      <c r="D75" s="160">
        <f>D53+D67</f>
        <v>1347915.7150000001</v>
      </c>
      <c r="E75" s="169">
        <f>E53+E67</f>
        <v>1404707.2680000002</v>
      </c>
    </row>
    <row r="76" spans="2:5" ht="16.5" thickBot="1" x14ac:dyDescent="0.3">
      <c r="B76" s="14" t="s">
        <v>20</v>
      </c>
      <c r="C76" s="9" t="s">
        <v>125</v>
      </c>
      <c r="D76" s="160">
        <f>SUM(D77:D79)</f>
        <v>5320</v>
      </c>
      <c r="E76" s="169">
        <f>SUM(E77:E79)</f>
        <v>5320</v>
      </c>
    </row>
    <row r="77" spans="2:5" x14ac:dyDescent="0.25">
      <c r="B77" s="21" t="s">
        <v>22</v>
      </c>
      <c r="C77" s="8" t="s">
        <v>122</v>
      </c>
      <c r="D77" s="162">
        <v>5320</v>
      </c>
      <c r="E77" s="163">
        <v>5320</v>
      </c>
    </row>
    <row r="78" spans="2:5" x14ac:dyDescent="0.25">
      <c r="B78" s="22" t="s">
        <v>26</v>
      </c>
      <c r="C78" s="4" t="s">
        <v>123</v>
      </c>
      <c r="D78" s="163"/>
      <c r="E78" s="163"/>
    </row>
    <row r="79" spans="2:5" ht="16.5" thickBot="1" x14ac:dyDescent="0.3">
      <c r="B79" s="25" t="s">
        <v>27</v>
      </c>
      <c r="C79" s="10" t="s">
        <v>124</v>
      </c>
      <c r="D79" s="164"/>
      <c r="E79" s="163"/>
    </row>
    <row r="80" spans="2:5" ht="16.5" thickBot="1" x14ac:dyDescent="0.3">
      <c r="B80" s="28" t="s">
        <v>29</v>
      </c>
      <c r="C80" s="29" t="s">
        <v>126</v>
      </c>
      <c r="D80" s="219"/>
      <c r="E80" s="163"/>
    </row>
    <row r="81" spans="1:5" ht="16.5" thickBot="1" x14ac:dyDescent="0.3">
      <c r="B81" s="14" t="s">
        <v>51</v>
      </c>
      <c r="C81" s="9" t="s">
        <v>129</v>
      </c>
      <c r="D81" s="160">
        <f>D82</f>
        <v>10031.323</v>
      </c>
      <c r="E81" s="169">
        <f>E82</f>
        <v>10031.323</v>
      </c>
    </row>
    <row r="82" spans="1:5" ht="16.5" thickBot="1" x14ac:dyDescent="0.3">
      <c r="B82" s="26" t="s">
        <v>127</v>
      </c>
      <c r="C82" s="27" t="s">
        <v>128</v>
      </c>
      <c r="D82" s="165">
        <v>10031.323</v>
      </c>
      <c r="E82" s="207">
        <v>10031.323</v>
      </c>
    </row>
    <row r="83" spans="1:5" ht="16.5" thickBot="1" x14ac:dyDescent="0.3">
      <c r="B83" s="14" t="s">
        <v>53</v>
      </c>
      <c r="C83" s="9" t="s">
        <v>130</v>
      </c>
      <c r="D83" s="160"/>
      <c r="E83" s="208"/>
    </row>
    <row r="84" spans="1:5" ht="16.5" thickBot="1" x14ac:dyDescent="0.3">
      <c r="B84" s="14" t="s">
        <v>55</v>
      </c>
      <c r="C84" s="9" t="s">
        <v>131</v>
      </c>
      <c r="D84" s="160"/>
      <c r="E84" s="208"/>
    </row>
    <row r="85" spans="1:5" ht="16.5" thickBot="1" x14ac:dyDescent="0.3">
      <c r="B85" s="14" t="s">
        <v>132</v>
      </c>
      <c r="C85" s="9" t="s">
        <v>133</v>
      </c>
      <c r="D85" s="160"/>
      <c r="E85" s="162"/>
    </row>
    <row r="86" spans="1:5" ht="16.5" thickBot="1" x14ac:dyDescent="0.3">
      <c r="B86" s="14" t="s">
        <v>58</v>
      </c>
      <c r="C86" s="9" t="s">
        <v>134</v>
      </c>
      <c r="D86" s="160">
        <f>D76+D80+D81+D83+D84+D85</f>
        <v>15351.323</v>
      </c>
      <c r="E86" s="169">
        <f>E76+E80+E81+E83+E84+E85</f>
        <v>15351.323</v>
      </c>
    </row>
    <row r="87" spans="1:5" ht="16.5" thickBot="1" x14ac:dyDescent="0.3">
      <c r="B87" s="14" t="s">
        <v>66</v>
      </c>
      <c r="C87" s="9" t="s">
        <v>135</v>
      </c>
      <c r="D87" s="160">
        <f>D75+D86</f>
        <v>1363267.0380000002</v>
      </c>
      <c r="E87" s="169">
        <f>E75+E86</f>
        <v>1420058.5910000002</v>
      </c>
    </row>
    <row r="89" spans="1:5" s="30" customFormat="1" ht="29.25" customHeight="1" x14ac:dyDescent="0.25">
      <c r="A89" s="177"/>
      <c r="B89" s="378" t="s">
        <v>140</v>
      </c>
      <c r="C89" s="378"/>
      <c r="D89" s="378"/>
      <c r="E89" s="233"/>
    </row>
    <row r="90" spans="1:5" ht="16.5" thickBot="1" x14ac:dyDescent="0.3">
      <c r="B90" s="18" t="s">
        <v>141</v>
      </c>
      <c r="C90" s="1"/>
      <c r="D90" s="159"/>
    </row>
    <row r="91" spans="1:5" ht="32.25" thickBot="1" x14ac:dyDescent="0.3">
      <c r="B91" s="14" t="s">
        <v>3</v>
      </c>
      <c r="C91" s="11" t="s">
        <v>142</v>
      </c>
      <c r="D91" s="202">
        <f>D34-D75</f>
        <v>-644597.78700000001</v>
      </c>
      <c r="E91" s="169">
        <f>E34-E75</f>
        <v>-667547.29200000013</v>
      </c>
    </row>
    <row r="92" spans="1:5" ht="32.25" thickBot="1" x14ac:dyDescent="0.3">
      <c r="B92" s="14" t="s">
        <v>5</v>
      </c>
      <c r="C92" s="11" t="s">
        <v>143</v>
      </c>
      <c r="D92" s="202">
        <f>D47-D86</f>
        <v>644597.78700000001</v>
      </c>
      <c r="E92" s="169">
        <f>E47-E86</f>
        <v>667547.29200000002</v>
      </c>
    </row>
    <row r="95" spans="1:5" x14ac:dyDescent="0.25">
      <c r="C95" s="178" t="s">
        <v>355</v>
      </c>
    </row>
    <row r="96" spans="1:5" x14ac:dyDescent="0.25">
      <c r="C96" s="2" t="s">
        <v>0</v>
      </c>
    </row>
    <row r="97" spans="3:3" x14ac:dyDescent="0.25">
      <c r="C97" s="249" t="s">
        <v>356</v>
      </c>
    </row>
    <row r="98" spans="3:3" x14ac:dyDescent="0.25">
      <c r="C98" s="249" t="s">
        <v>364</v>
      </c>
    </row>
    <row r="99" spans="3:3" x14ac:dyDescent="0.25">
      <c r="C99" s="249" t="s">
        <v>365</v>
      </c>
    </row>
    <row r="100" spans="3:3" x14ac:dyDescent="0.25">
      <c r="C100" s="249" t="s">
        <v>392</v>
      </c>
    </row>
    <row r="101" spans="3:3" x14ac:dyDescent="0.25">
      <c r="C101" s="249" t="s">
        <v>541</v>
      </c>
    </row>
    <row r="102" spans="3:3" x14ac:dyDescent="0.25">
      <c r="C102" s="2" t="s">
        <v>399</v>
      </c>
    </row>
    <row r="103" spans="3:3" x14ac:dyDescent="0.25">
      <c r="C103" s="2" t="s">
        <v>537</v>
      </c>
    </row>
    <row r="104" spans="3:3" x14ac:dyDescent="0.25">
      <c r="C104" s="2" t="s">
        <v>400</v>
      </c>
    </row>
    <row r="106" spans="3:3" x14ac:dyDescent="0.25">
      <c r="C106" s="2" t="s">
        <v>357</v>
      </c>
    </row>
    <row r="107" spans="3:3" x14ac:dyDescent="0.25">
      <c r="C107" s="2" t="s">
        <v>363</v>
      </c>
    </row>
    <row r="108" spans="3:3" x14ac:dyDescent="0.25">
      <c r="C108" s="2" t="s">
        <v>544</v>
      </c>
    </row>
    <row r="110" spans="3:3" x14ac:dyDescent="0.25">
      <c r="C110" s="2" t="s">
        <v>358</v>
      </c>
    </row>
    <row r="111" spans="3:3" x14ac:dyDescent="0.25">
      <c r="C111" s="2" t="s">
        <v>401</v>
      </c>
    </row>
    <row r="112" spans="3:3" x14ac:dyDescent="0.25">
      <c r="C112" s="2" t="s">
        <v>402</v>
      </c>
    </row>
    <row r="114" spans="2:5" x14ac:dyDescent="0.25">
      <c r="C114" s="2" t="s">
        <v>359</v>
      </c>
    </row>
    <row r="115" spans="2:5" x14ac:dyDescent="0.25">
      <c r="C115" s="2" t="s">
        <v>360</v>
      </c>
    </row>
    <row r="117" spans="2:5" x14ac:dyDescent="0.25">
      <c r="C117" s="2" t="s">
        <v>361</v>
      </c>
    </row>
    <row r="118" spans="2:5" s="249" customFormat="1" x14ac:dyDescent="0.25">
      <c r="B118" s="250"/>
      <c r="C118" s="249" t="s">
        <v>362</v>
      </c>
      <c r="D118" s="245"/>
      <c r="E118" s="245"/>
    </row>
    <row r="119" spans="2:5" s="249" customFormat="1" x14ac:dyDescent="0.25">
      <c r="B119" s="250"/>
      <c r="C119" s="249" t="s">
        <v>540</v>
      </c>
      <c r="D119" s="245"/>
      <c r="E119" s="245"/>
    </row>
    <row r="120" spans="2:5" x14ac:dyDescent="0.25">
      <c r="C120" s="2" t="s">
        <v>538</v>
      </c>
    </row>
    <row r="122" spans="2:5" x14ac:dyDescent="0.25">
      <c r="C122" s="2" t="s">
        <v>539</v>
      </c>
    </row>
    <row r="123" spans="2:5" x14ac:dyDescent="0.25">
      <c r="C123" s="2" t="s">
        <v>542</v>
      </c>
    </row>
    <row r="124" spans="2:5" x14ac:dyDescent="0.25">
      <c r="C124" s="2" t="s">
        <v>403</v>
      </c>
    </row>
    <row r="125" spans="2:5" x14ac:dyDescent="0.25">
      <c r="C125" s="2" t="s">
        <v>543</v>
      </c>
    </row>
    <row r="126" spans="2:5" x14ac:dyDescent="0.25">
      <c r="C126" s="2" t="s">
        <v>404</v>
      </c>
    </row>
    <row r="127" spans="2:5" x14ac:dyDescent="0.25">
      <c r="C127" s="2" t="s">
        <v>405</v>
      </c>
    </row>
  </sheetData>
  <mergeCells count="6">
    <mergeCell ref="B89:D89"/>
    <mergeCell ref="B50:D50"/>
    <mergeCell ref="B1:E1"/>
    <mergeCell ref="A2:E2"/>
    <mergeCell ref="A3:E3"/>
    <mergeCell ref="A4:E4"/>
  </mergeCells>
  <pageMargins left="0.70866141732283461" right="0.70866141732283461" top="0.74803149606299213" bottom="0.74803149606299213" header="0.31496062992125984" footer="0.31496062992125984"/>
  <pageSetup paperSize="9" scale="76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6"/>
  <sheetViews>
    <sheetView view="pageBreakPreview" zoomScaleNormal="100" zoomScaleSheetLayoutView="100" workbookViewId="0">
      <selection activeCell="Q6" sqref="Q6"/>
    </sheetView>
  </sheetViews>
  <sheetFormatPr defaultRowHeight="15" x14ac:dyDescent="0.25"/>
  <cols>
    <col min="1" max="1" width="5.28515625" style="267" customWidth="1"/>
    <col min="2" max="2" width="13.28515625" style="267" customWidth="1"/>
    <col min="3" max="3" width="35.140625" style="267" customWidth="1"/>
    <col min="4" max="5" width="10.7109375" style="267" customWidth="1"/>
    <col min="6" max="7" width="13.7109375" style="267" customWidth="1"/>
    <col min="8" max="9" width="13.85546875" style="267" customWidth="1"/>
    <col min="10" max="11" width="13.28515625" style="267" customWidth="1"/>
    <col min="12" max="13" width="15.28515625" style="267" customWidth="1"/>
    <col min="14" max="15" width="13.85546875" style="267" customWidth="1"/>
    <col min="16" max="17" width="14.140625" style="267" customWidth="1"/>
    <col min="18" max="18" width="11.42578125" style="267" customWidth="1"/>
    <col min="19" max="19" width="11.28515625" style="267" bestFit="1" customWidth="1"/>
    <col min="20" max="16384" width="9.140625" style="267"/>
  </cols>
  <sheetData>
    <row r="1" spans="1:19" x14ac:dyDescent="0.25">
      <c r="L1" s="403" t="s">
        <v>425</v>
      </c>
      <c r="M1" s="403"/>
      <c r="N1" s="404"/>
      <c r="O1" s="404"/>
      <c r="P1" s="404"/>
      <c r="Q1" s="404"/>
      <c r="R1" s="404"/>
    </row>
    <row r="2" spans="1:19" ht="54.75" customHeight="1" x14ac:dyDescent="0.25">
      <c r="A2" s="254">
        <v>1</v>
      </c>
      <c r="B2" s="254"/>
      <c r="C2" s="401" t="s">
        <v>426</v>
      </c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274"/>
    </row>
    <row r="3" spans="1:19" ht="84" customHeight="1" x14ac:dyDescent="0.25">
      <c r="A3" s="254">
        <v>2</v>
      </c>
      <c r="B3" s="255" t="s">
        <v>257</v>
      </c>
      <c r="C3" s="257" t="s">
        <v>203</v>
      </c>
      <c r="D3" s="392" t="s">
        <v>159</v>
      </c>
      <c r="E3" s="393"/>
      <c r="F3" s="392" t="s">
        <v>158</v>
      </c>
      <c r="G3" s="393"/>
      <c r="H3" s="392" t="s">
        <v>205</v>
      </c>
      <c r="I3" s="393"/>
      <c r="J3" s="392" t="s">
        <v>206</v>
      </c>
      <c r="K3" s="393"/>
      <c r="L3" s="392" t="s">
        <v>207</v>
      </c>
      <c r="M3" s="393"/>
      <c r="N3" s="392" t="s">
        <v>248</v>
      </c>
      <c r="O3" s="393"/>
      <c r="P3" s="392" t="s">
        <v>249</v>
      </c>
      <c r="Q3" s="393"/>
      <c r="R3" s="392" t="s">
        <v>209</v>
      </c>
      <c r="S3" s="393"/>
    </row>
    <row r="4" spans="1:19" s="278" customFormat="1" ht="28.5" x14ac:dyDescent="0.25">
      <c r="A4" s="276">
        <v>3</v>
      </c>
      <c r="B4" s="277"/>
      <c r="C4" s="257" t="s">
        <v>250</v>
      </c>
      <c r="D4" s="258" t="s">
        <v>422</v>
      </c>
      <c r="E4" s="82" t="s">
        <v>417</v>
      </c>
      <c r="F4" s="258" t="s">
        <v>422</v>
      </c>
      <c r="G4" s="82" t="s">
        <v>417</v>
      </c>
      <c r="H4" s="258" t="s">
        <v>422</v>
      </c>
      <c r="I4" s="82" t="s">
        <v>417</v>
      </c>
      <c r="J4" s="258" t="s">
        <v>422</v>
      </c>
      <c r="K4" s="82" t="s">
        <v>417</v>
      </c>
      <c r="L4" s="258" t="s">
        <v>422</v>
      </c>
      <c r="M4" s="82" t="s">
        <v>417</v>
      </c>
      <c r="N4" s="258" t="s">
        <v>422</v>
      </c>
      <c r="O4" s="82" t="s">
        <v>417</v>
      </c>
      <c r="P4" s="258" t="s">
        <v>422</v>
      </c>
      <c r="Q4" s="82" t="s">
        <v>417</v>
      </c>
      <c r="R4" s="258" t="s">
        <v>422</v>
      </c>
      <c r="S4" s="82" t="s">
        <v>417</v>
      </c>
    </row>
    <row r="5" spans="1:19" x14ac:dyDescent="0.25">
      <c r="A5" s="254">
        <v>4</v>
      </c>
      <c r="B5" s="279" t="s">
        <v>211</v>
      </c>
      <c r="C5" s="57" t="s">
        <v>267</v>
      </c>
      <c r="D5" s="280">
        <v>6.5</v>
      </c>
      <c r="E5" s="280">
        <v>6.5</v>
      </c>
      <c r="F5" s="280"/>
      <c r="G5" s="280"/>
      <c r="H5" s="281"/>
      <c r="I5" s="281"/>
      <c r="J5" s="281"/>
      <c r="K5" s="281"/>
      <c r="L5" s="281"/>
      <c r="M5" s="281"/>
      <c r="N5" s="281"/>
      <c r="O5" s="281"/>
      <c r="P5" s="282">
        <v>99671.2</v>
      </c>
      <c r="Q5" s="282">
        <v>99671.2</v>
      </c>
      <c r="R5" s="263">
        <f>D5+F5+H5+J5+L5+N5+P5</f>
        <v>99677.7</v>
      </c>
      <c r="S5" s="263">
        <f>E5+G5+I5+K5+M5+O5+Q5</f>
        <v>99677.7</v>
      </c>
    </row>
    <row r="6" spans="1:19" s="278" customFormat="1" x14ac:dyDescent="0.25">
      <c r="A6" s="254">
        <v>5</v>
      </c>
      <c r="B6" s="283"/>
      <c r="C6" s="284" t="s">
        <v>252</v>
      </c>
      <c r="D6" s="285">
        <f t="shared" ref="D6:Q6" si="0">SUM(D5:D5)</f>
        <v>6.5</v>
      </c>
      <c r="E6" s="285">
        <f t="shared" si="0"/>
        <v>6.5</v>
      </c>
      <c r="F6" s="285">
        <f t="shared" si="0"/>
        <v>0</v>
      </c>
      <c r="G6" s="285">
        <f t="shared" si="0"/>
        <v>0</v>
      </c>
      <c r="H6" s="285">
        <f t="shared" si="0"/>
        <v>0</v>
      </c>
      <c r="I6" s="285">
        <f t="shared" si="0"/>
        <v>0</v>
      </c>
      <c r="J6" s="285">
        <f t="shared" si="0"/>
        <v>0</v>
      </c>
      <c r="K6" s="285">
        <f t="shared" si="0"/>
        <v>0</v>
      </c>
      <c r="L6" s="285">
        <f t="shared" si="0"/>
        <v>0</v>
      </c>
      <c r="M6" s="285">
        <f t="shared" si="0"/>
        <v>0</v>
      </c>
      <c r="N6" s="285">
        <f t="shared" si="0"/>
        <v>0</v>
      </c>
      <c r="O6" s="285">
        <f t="shared" si="0"/>
        <v>0</v>
      </c>
      <c r="P6" s="286">
        <f t="shared" si="0"/>
        <v>99671.2</v>
      </c>
      <c r="Q6" s="286">
        <f t="shared" si="0"/>
        <v>99671.2</v>
      </c>
      <c r="R6" s="263">
        <f t="shared" ref="R6:S6" si="1">D6+F6+H6+J6+L6+N6+P6</f>
        <v>99677.7</v>
      </c>
      <c r="S6" s="263">
        <f t="shared" si="1"/>
        <v>99677.7</v>
      </c>
    </row>
    <row r="7" spans="1:19" x14ac:dyDescent="0.25">
      <c r="A7" s="254">
        <v>6</v>
      </c>
      <c r="B7" s="279"/>
      <c r="C7" s="57" t="s">
        <v>238</v>
      </c>
      <c r="D7" s="265">
        <f t="shared" ref="D7:S7" si="2">SUMIF($B5:$B5,"kötelező",D5:D5)</f>
        <v>6.5</v>
      </c>
      <c r="E7" s="265">
        <f t="shared" si="2"/>
        <v>6.5</v>
      </c>
      <c r="F7" s="265">
        <f t="shared" si="2"/>
        <v>0</v>
      </c>
      <c r="G7" s="265">
        <f t="shared" si="2"/>
        <v>0</v>
      </c>
      <c r="H7" s="265">
        <f t="shared" si="2"/>
        <v>0</v>
      </c>
      <c r="I7" s="265">
        <f t="shared" si="2"/>
        <v>0</v>
      </c>
      <c r="J7" s="265">
        <f t="shared" si="2"/>
        <v>0</v>
      </c>
      <c r="K7" s="265">
        <f t="shared" si="2"/>
        <v>0</v>
      </c>
      <c r="L7" s="265">
        <f t="shared" si="2"/>
        <v>0</v>
      </c>
      <c r="M7" s="265">
        <f t="shared" si="2"/>
        <v>0</v>
      </c>
      <c r="N7" s="265">
        <f t="shared" si="2"/>
        <v>0</v>
      </c>
      <c r="O7" s="265">
        <f t="shared" si="2"/>
        <v>0</v>
      </c>
      <c r="P7" s="265">
        <f t="shared" si="2"/>
        <v>99671.2</v>
      </c>
      <c r="Q7" s="265">
        <f t="shared" si="2"/>
        <v>99671.2</v>
      </c>
      <c r="R7" s="265">
        <f t="shared" si="2"/>
        <v>99677.7</v>
      </c>
      <c r="S7" s="265">
        <f t="shared" si="2"/>
        <v>99677.7</v>
      </c>
    </row>
    <row r="8" spans="1:19" x14ac:dyDescent="0.25">
      <c r="A8" s="254">
        <v>7</v>
      </c>
      <c r="B8" s="279"/>
      <c r="C8" s="57" t="s">
        <v>239</v>
      </c>
      <c r="D8" s="265">
        <f t="shared" ref="D8:S8" si="3">SUMIF($B5:$B5,"nem kötelező",D5:D5)</f>
        <v>0</v>
      </c>
      <c r="E8" s="265">
        <f t="shared" si="3"/>
        <v>0</v>
      </c>
      <c r="F8" s="265">
        <f t="shared" si="3"/>
        <v>0</v>
      </c>
      <c r="G8" s="265">
        <f t="shared" si="3"/>
        <v>0</v>
      </c>
      <c r="H8" s="265">
        <f t="shared" si="3"/>
        <v>0</v>
      </c>
      <c r="I8" s="265">
        <f t="shared" si="3"/>
        <v>0</v>
      </c>
      <c r="J8" s="265">
        <f t="shared" si="3"/>
        <v>0</v>
      </c>
      <c r="K8" s="265">
        <f t="shared" si="3"/>
        <v>0</v>
      </c>
      <c r="L8" s="265">
        <f t="shared" si="3"/>
        <v>0</v>
      </c>
      <c r="M8" s="265">
        <f t="shared" si="3"/>
        <v>0</v>
      </c>
      <c r="N8" s="265">
        <f t="shared" si="3"/>
        <v>0</v>
      </c>
      <c r="O8" s="265">
        <f t="shared" si="3"/>
        <v>0</v>
      </c>
      <c r="P8" s="265">
        <f t="shared" si="3"/>
        <v>0</v>
      </c>
      <c r="Q8" s="265">
        <f t="shared" si="3"/>
        <v>0</v>
      </c>
      <c r="R8" s="265">
        <f t="shared" si="3"/>
        <v>0</v>
      </c>
      <c r="S8" s="265">
        <f t="shared" si="3"/>
        <v>0</v>
      </c>
    </row>
    <row r="9" spans="1:19" x14ac:dyDescent="0.25"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</row>
    <row r="16" spans="1:19" x14ac:dyDescent="0.25">
      <c r="F16" s="267" t="s">
        <v>268</v>
      </c>
    </row>
  </sheetData>
  <mergeCells count="10">
    <mergeCell ref="C2:R2"/>
    <mergeCell ref="L1:R1"/>
    <mergeCell ref="D3:E3"/>
    <mergeCell ref="F3:G3"/>
    <mergeCell ref="H3:I3"/>
    <mergeCell ref="J3:K3"/>
    <mergeCell ref="L3:M3"/>
    <mergeCell ref="N3:O3"/>
    <mergeCell ref="P3:Q3"/>
    <mergeCell ref="R3:S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7"/>
  <sheetViews>
    <sheetView view="pageLayout" topLeftCell="B1" zoomScaleNormal="100" workbookViewId="0">
      <selection activeCell="V13" sqref="V13"/>
    </sheetView>
  </sheetViews>
  <sheetFormatPr defaultRowHeight="15" x14ac:dyDescent="0.25"/>
  <cols>
    <col min="1" max="1" width="5.28515625" style="52" customWidth="1"/>
    <col min="2" max="2" width="13.28515625" style="52" customWidth="1"/>
    <col min="3" max="3" width="28" style="52" customWidth="1"/>
    <col min="4" max="4" width="10.85546875" style="52" bestFit="1" customWidth="1"/>
    <col min="5" max="5" width="10.140625" style="52" bestFit="1" customWidth="1"/>
    <col min="6" max="6" width="10.5703125" style="52" bestFit="1" customWidth="1"/>
    <col min="7" max="7" width="8.42578125" style="52" bestFit="1" customWidth="1"/>
    <col min="8" max="8" width="10.85546875" style="52" bestFit="1" customWidth="1"/>
    <col min="9" max="9" width="11.28515625" style="52" bestFit="1" customWidth="1"/>
    <col min="10" max="10" width="10.85546875" style="52" bestFit="1" customWidth="1"/>
    <col min="11" max="11" width="8.42578125" style="52" bestFit="1" customWidth="1"/>
    <col min="12" max="12" width="10.5703125" style="52" bestFit="1" customWidth="1"/>
    <col min="13" max="13" width="8.42578125" style="52" bestFit="1" customWidth="1"/>
    <col min="14" max="14" width="10.85546875" style="52" bestFit="1" customWidth="1"/>
    <col min="15" max="15" width="8.42578125" style="52" bestFit="1" customWidth="1"/>
    <col min="16" max="19" width="11.28515625" style="52" bestFit="1" customWidth="1"/>
    <col min="20" max="20" width="12.140625" style="52" customWidth="1"/>
    <col min="21" max="21" width="0" style="51" hidden="1" customWidth="1"/>
    <col min="22" max="22" width="11.28515625" style="52" bestFit="1" customWidth="1"/>
    <col min="23" max="16384" width="9.140625" style="52"/>
  </cols>
  <sheetData>
    <row r="1" spans="1:22" x14ac:dyDescent="0.25">
      <c r="N1" s="49"/>
      <c r="O1" s="49"/>
      <c r="P1" s="49"/>
      <c r="Q1" s="49"/>
      <c r="R1" s="49"/>
      <c r="S1" s="49"/>
      <c r="T1" s="77" t="s">
        <v>427</v>
      </c>
    </row>
    <row r="2" spans="1:22" x14ac:dyDescent="0.25">
      <c r="A2" s="48"/>
      <c r="B2" s="48"/>
      <c r="C2" s="48" t="s">
        <v>148</v>
      </c>
      <c r="D2" s="48" t="s">
        <v>171</v>
      </c>
      <c r="E2" s="48"/>
      <c r="F2" s="48" t="s">
        <v>150</v>
      </c>
      <c r="G2" s="48"/>
      <c r="H2" s="48" t="s">
        <v>190</v>
      </c>
      <c r="I2" s="48"/>
      <c r="J2" s="48" t="s">
        <v>199</v>
      </c>
      <c r="K2" s="48"/>
      <c r="L2" s="48" t="s">
        <v>201</v>
      </c>
      <c r="M2" s="48"/>
      <c r="N2" s="48" t="s">
        <v>254</v>
      </c>
      <c r="O2" s="48"/>
      <c r="P2" s="48"/>
      <c r="Q2" s="48"/>
      <c r="R2" s="48" t="s">
        <v>255</v>
      </c>
      <c r="S2" s="48"/>
      <c r="T2" s="48" t="s">
        <v>256</v>
      </c>
      <c r="V2" s="56"/>
    </row>
    <row r="3" spans="1:22" ht="18.75" x14ac:dyDescent="0.25">
      <c r="A3" s="48">
        <v>1</v>
      </c>
      <c r="B3" s="405" t="s">
        <v>428</v>
      </c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7"/>
    </row>
    <row r="4" spans="1:22" s="174" customFormat="1" ht="57" customHeight="1" x14ac:dyDescent="0.2">
      <c r="A4" s="171">
        <v>2</v>
      </c>
      <c r="B4" s="172" t="s">
        <v>257</v>
      </c>
      <c r="C4" s="173" t="s">
        <v>203</v>
      </c>
      <c r="D4" s="408" t="s">
        <v>159</v>
      </c>
      <c r="E4" s="409"/>
      <c r="F4" s="408" t="s">
        <v>158</v>
      </c>
      <c r="G4" s="409"/>
      <c r="H4" s="408" t="s">
        <v>205</v>
      </c>
      <c r="I4" s="409"/>
      <c r="J4" s="408" t="s">
        <v>206</v>
      </c>
      <c r="K4" s="409"/>
      <c r="L4" s="408" t="s">
        <v>207</v>
      </c>
      <c r="M4" s="409"/>
      <c r="N4" s="408" t="s">
        <v>248</v>
      </c>
      <c r="O4" s="409"/>
      <c r="P4" s="408" t="s">
        <v>514</v>
      </c>
      <c r="Q4" s="409"/>
      <c r="R4" s="408" t="s">
        <v>249</v>
      </c>
      <c r="S4" s="409"/>
      <c r="T4" s="410" t="s">
        <v>209</v>
      </c>
      <c r="U4" s="410"/>
      <c r="V4" s="410"/>
    </row>
    <row r="5" spans="1:22" ht="28.5" x14ac:dyDescent="0.25">
      <c r="A5" s="48">
        <v>3</v>
      </c>
      <c r="B5" s="53"/>
      <c r="C5" s="50" t="s">
        <v>250</v>
      </c>
      <c r="D5" s="59" t="s">
        <v>422</v>
      </c>
      <c r="E5" s="82" t="s">
        <v>417</v>
      </c>
      <c r="F5" s="59" t="s">
        <v>422</v>
      </c>
      <c r="G5" s="82" t="s">
        <v>417</v>
      </c>
      <c r="H5" s="59" t="s">
        <v>422</v>
      </c>
      <c r="I5" s="82" t="s">
        <v>417</v>
      </c>
      <c r="J5" s="59" t="s">
        <v>422</v>
      </c>
      <c r="K5" s="82" t="s">
        <v>417</v>
      </c>
      <c r="L5" s="59" t="s">
        <v>422</v>
      </c>
      <c r="M5" s="82" t="s">
        <v>417</v>
      </c>
      <c r="N5" s="59" t="s">
        <v>422</v>
      </c>
      <c r="O5" s="82" t="s">
        <v>417</v>
      </c>
      <c r="P5" s="59" t="s">
        <v>422</v>
      </c>
      <c r="Q5" s="82" t="s">
        <v>417</v>
      </c>
      <c r="R5" s="59" t="s">
        <v>422</v>
      </c>
      <c r="S5" s="82" t="s">
        <v>417</v>
      </c>
      <c r="T5" s="59" t="s">
        <v>422</v>
      </c>
      <c r="U5" s="82" t="s">
        <v>417</v>
      </c>
      <c r="V5" s="82" t="s">
        <v>417</v>
      </c>
    </row>
    <row r="6" spans="1:22" s="55" customFormat="1" x14ac:dyDescent="0.25">
      <c r="A6" s="54">
        <v>4</v>
      </c>
      <c r="B6" s="71" t="s">
        <v>211</v>
      </c>
      <c r="C6" s="73" t="s">
        <v>339</v>
      </c>
      <c r="D6" s="149">
        <v>1255</v>
      </c>
      <c r="E6" s="149">
        <f>D6</f>
        <v>1255</v>
      </c>
      <c r="F6" s="149"/>
      <c r="G6" s="149"/>
      <c r="H6" s="150">
        <v>1354.9</v>
      </c>
      <c r="I6" s="150">
        <f>H6</f>
        <v>1354.9</v>
      </c>
      <c r="J6" s="150"/>
      <c r="K6" s="150"/>
      <c r="L6" s="150"/>
      <c r="M6" s="150"/>
      <c r="N6" s="150"/>
      <c r="O6" s="150"/>
      <c r="P6" s="150"/>
      <c r="Q6" s="150"/>
      <c r="R6" s="151">
        <v>13629.1</v>
      </c>
      <c r="S6" s="151">
        <f>R6</f>
        <v>13629.1</v>
      </c>
      <c r="T6" s="152">
        <f>D6+F6+H6+J6+L6+N6+R6+P6</f>
        <v>16239</v>
      </c>
      <c r="U6" s="196">
        <v>350</v>
      </c>
      <c r="V6" s="223">
        <f>E6+G6+I6+K6+M6+O6+S6</f>
        <v>16239</v>
      </c>
    </row>
    <row r="7" spans="1:22" s="55" customFormat="1" x14ac:dyDescent="0.25">
      <c r="A7" s="171">
        <v>5</v>
      </c>
      <c r="B7" s="71" t="s">
        <v>215</v>
      </c>
      <c r="C7" s="73" t="s">
        <v>340</v>
      </c>
      <c r="D7" s="149"/>
      <c r="E7" s="149">
        <f t="shared" ref="E7:E13" si="0">D7</f>
        <v>0</v>
      </c>
      <c r="F7" s="149"/>
      <c r="G7" s="149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1">
        <v>70</v>
      </c>
      <c r="S7" s="151">
        <f t="shared" ref="S7:S13" si="1">R7</f>
        <v>70</v>
      </c>
      <c r="T7" s="152">
        <f t="shared" ref="T7:T13" si="2">D7+F7+H7+J7+L7+N7+R7+P7</f>
        <v>70</v>
      </c>
      <c r="U7" s="196"/>
      <c r="V7" s="223">
        <f t="shared" ref="V7:V10" si="3">E7+G7+I7+K7+M7+O7+S7</f>
        <v>70</v>
      </c>
    </row>
    <row r="8" spans="1:22" s="55" customFormat="1" x14ac:dyDescent="0.25">
      <c r="A8" s="48">
        <v>6</v>
      </c>
      <c r="B8" s="71" t="s">
        <v>215</v>
      </c>
      <c r="C8" s="73" t="s">
        <v>341</v>
      </c>
      <c r="D8" s="149">
        <v>23</v>
      </c>
      <c r="E8" s="149">
        <f t="shared" si="0"/>
        <v>23</v>
      </c>
      <c r="F8" s="149"/>
      <c r="G8" s="149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1">
        <v>1077</v>
      </c>
      <c r="S8" s="151">
        <f t="shared" si="1"/>
        <v>1077</v>
      </c>
      <c r="T8" s="152">
        <f t="shared" si="2"/>
        <v>1100</v>
      </c>
      <c r="U8" s="196">
        <v>13</v>
      </c>
      <c r="V8" s="223">
        <f t="shared" si="3"/>
        <v>1100</v>
      </c>
    </row>
    <row r="9" spans="1:22" s="55" customFormat="1" x14ac:dyDescent="0.25">
      <c r="A9" s="54">
        <v>7</v>
      </c>
      <c r="B9" s="71" t="s">
        <v>215</v>
      </c>
      <c r="C9" s="73" t="s">
        <v>342</v>
      </c>
      <c r="D9" s="149">
        <v>348</v>
      </c>
      <c r="E9" s="149">
        <f t="shared" si="0"/>
        <v>348</v>
      </c>
      <c r="F9" s="149"/>
      <c r="G9" s="149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1">
        <v>1652</v>
      </c>
      <c r="S9" s="151">
        <f t="shared" si="1"/>
        <v>1652</v>
      </c>
      <c r="T9" s="152">
        <f t="shared" si="2"/>
        <v>2000</v>
      </c>
      <c r="U9" s="196"/>
      <c r="V9" s="223">
        <f t="shared" si="3"/>
        <v>2000</v>
      </c>
    </row>
    <row r="10" spans="1:22" s="55" customFormat="1" x14ac:dyDescent="0.25">
      <c r="A10" s="171">
        <v>8</v>
      </c>
      <c r="B10" s="71" t="s">
        <v>215</v>
      </c>
      <c r="C10" s="73" t="s">
        <v>384</v>
      </c>
      <c r="D10" s="149"/>
      <c r="E10" s="149">
        <f t="shared" si="0"/>
        <v>0</v>
      </c>
      <c r="F10" s="149"/>
      <c r="G10" s="149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1">
        <v>1000</v>
      </c>
      <c r="S10" s="151">
        <f t="shared" si="1"/>
        <v>1000</v>
      </c>
      <c r="T10" s="152">
        <f t="shared" si="2"/>
        <v>1000</v>
      </c>
      <c r="U10" s="196"/>
      <c r="V10" s="223">
        <f t="shared" si="3"/>
        <v>1000</v>
      </c>
    </row>
    <row r="11" spans="1:22" s="55" customFormat="1" x14ac:dyDescent="0.25">
      <c r="A11" s="48">
        <v>9</v>
      </c>
      <c r="B11" s="71" t="s">
        <v>215</v>
      </c>
      <c r="C11" s="73" t="s">
        <v>385</v>
      </c>
      <c r="D11" s="149"/>
      <c r="E11" s="149">
        <f t="shared" si="0"/>
        <v>0</v>
      </c>
      <c r="F11" s="149"/>
      <c r="G11" s="149"/>
      <c r="H11" s="150"/>
      <c r="I11" s="150"/>
      <c r="J11" s="150"/>
      <c r="K11" s="150"/>
      <c r="L11" s="150"/>
      <c r="M11" s="150"/>
      <c r="N11" s="150"/>
      <c r="O11" s="150"/>
      <c r="P11" s="150">
        <v>9979.01</v>
      </c>
      <c r="Q11" s="150">
        <f>P11</f>
        <v>9979.01</v>
      </c>
      <c r="R11" s="151"/>
      <c r="S11" s="151">
        <f t="shared" si="1"/>
        <v>0</v>
      </c>
      <c r="T11" s="152">
        <f t="shared" si="2"/>
        <v>9979.01</v>
      </c>
      <c r="U11" s="196"/>
      <c r="V11" s="223">
        <f>E11+G11+I11+K11+M11+O11+S11+Q11</f>
        <v>9979.01</v>
      </c>
    </row>
    <row r="12" spans="1:22" s="335" customFormat="1" x14ac:dyDescent="0.25">
      <c r="A12" s="329">
        <v>10</v>
      </c>
      <c r="B12" s="336" t="s">
        <v>215</v>
      </c>
      <c r="C12" s="326" t="s">
        <v>513</v>
      </c>
      <c r="D12" s="340"/>
      <c r="E12" s="149">
        <f t="shared" si="0"/>
        <v>0</v>
      </c>
      <c r="F12" s="340"/>
      <c r="G12" s="340"/>
      <c r="H12" s="332">
        <v>351</v>
      </c>
      <c r="I12" s="332">
        <f>H12+4209.984</f>
        <v>4560.9840000000004</v>
      </c>
      <c r="J12" s="332"/>
      <c r="K12" s="332"/>
      <c r="L12" s="332"/>
      <c r="M12" s="332"/>
      <c r="N12" s="332"/>
      <c r="O12" s="332"/>
      <c r="P12" s="332">
        <v>701.66399999999999</v>
      </c>
      <c r="Q12" s="150">
        <f>P12</f>
        <v>701.66399999999999</v>
      </c>
      <c r="R12" s="333">
        <v>256.33600000000001</v>
      </c>
      <c r="S12" s="151">
        <f t="shared" si="1"/>
        <v>256.33600000000001</v>
      </c>
      <c r="T12" s="334">
        <f>D12+F12+H12+J12+L12+N12+R12+P12</f>
        <v>1309</v>
      </c>
      <c r="U12" s="341"/>
      <c r="V12" s="342">
        <f>E12+G12+I12+K12+M12+O12+S12+Q12</f>
        <v>5518.9840000000004</v>
      </c>
    </row>
    <row r="13" spans="1:22" s="55" customFormat="1" x14ac:dyDescent="0.25">
      <c r="A13" s="171">
        <v>11</v>
      </c>
      <c r="B13" s="71" t="s">
        <v>215</v>
      </c>
      <c r="C13" s="73" t="s">
        <v>343</v>
      </c>
      <c r="D13" s="149">
        <v>2540</v>
      </c>
      <c r="E13" s="149">
        <f t="shared" si="0"/>
        <v>2540</v>
      </c>
      <c r="F13" s="149"/>
      <c r="G13" s="149"/>
      <c r="H13" s="150"/>
      <c r="I13" s="150"/>
      <c r="J13" s="150"/>
      <c r="K13" s="150"/>
      <c r="L13" s="150">
        <v>258</v>
      </c>
      <c r="M13" s="150">
        <v>258</v>
      </c>
      <c r="N13" s="150"/>
      <c r="O13" s="150"/>
      <c r="P13" s="150"/>
      <c r="Q13" s="150"/>
      <c r="R13" s="151">
        <v>12202</v>
      </c>
      <c r="S13" s="151">
        <f t="shared" si="1"/>
        <v>12202</v>
      </c>
      <c r="T13" s="152">
        <f t="shared" si="2"/>
        <v>15000</v>
      </c>
      <c r="U13" s="196"/>
      <c r="V13" s="223">
        <f>E13+G13+I13+K13+M13+O13+S13</f>
        <v>15000</v>
      </c>
    </row>
    <row r="14" spans="1:22" ht="15.75" x14ac:dyDescent="0.25">
      <c r="A14" s="48">
        <v>12</v>
      </c>
      <c r="B14" s="48"/>
      <c r="C14" s="50" t="s">
        <v>252</v>
      </c>
      <c r="D14" s="153">
        <f t="shared" ref="D14:T14" si="4">SUM(D6:D13)</f>
        <v>4166</v>
      </c>
      <c r="E14" s="153">
        <f t="shared" ref="E14" si="5">SUM(E6:E13)</f>
        <v>4166</v>
      </c>
      <c r="F14" s="153">
        <f t="shared" si="4"/>
        <v>0</v>
      </c>
      <c r="G14" s="153">
        <f t="shared" ref="G14" si="6">SUM(G6:G13)</f>
        <v>0</v>
      </c>
      <c r="H14" s="153">
        <f t="shared" si="4"/>
        <v>1705.9</v>
      </c>
      <c r="I14" s="153">
        <f t="shared" ref="I14" si="7">SUM(I6:I13)</f>
        <v>5915.884</v>
      </c>
      <c r="J14" s="153">
        <f t="shared" si="4"/>
        <v>0</v>
      </c>
      <c r="K14" s="153">
        <f t="shared" ref="K14" si="8">SUM(K6:K13)</f>
        <v>0</v>
      </c>
      <c r="L14" s="153">
        <f t="shared" si="4"/>
        <v>258</v>
      </c>
      <c r="M14" s="153">
        <f t="shared" ref="M14" si="9">SUM(M6:M13)</f>
        <v>258</v>
      </c>
      <c r="N14" s="153">
        <f t="shared" si="4"/>
        <v>0</v>
      </c>
      <c r="O14" s="153">
        <f t="shared" ref="O14:Q14" si="10">SUM(O6:O13)</f>
        <v>0</v>
      </c>
      <c r="P14" s="153">
        <f t="shared" si="4"/>
        <v>10680.674000000001</v>
      </c>
      <c r="Q14" s="153">
        <f t="shared" si="10"/>
        <v>10680.674000000001</v>
      </c>
      <c r="R14" s="153">
        <f t="shared" si="4"/>
        <v>29886.435999999998</v>
      </c>
      <c r="S14" s="153">
        <f t="shared" ref="S14" si="11">SUM(S6:S13)</f>
        <v>29886.435999999998</v>
      </c>
      <c r="T14" s="153">
        <f t="shared" si="4"/>
        <v>46697.01</v>
      </c>
      <c r="U14" s="153">
        <f t="shared" ref="U14" si="12">SUM(U6:U13)</f>
        <v>363</v>
      </c>
      <c r="V14" s="153">
        <f>SUM(V6:V13)</f>
        <v>50906.994000000006</v>
      </c>
    </row>
    <row r="15" spans="1:22" x14ac:dyDescent="0.25">
      <c r="A15" s="48">
        <v>13</v>
      </c>
      <c r="B15" s="56"/>
      <c r="C15" s="57" t="s">
        <v>238</v>
      </c>
      <c r="D15" s="154">
        <f t="shared" ref="D15:T15" si="13">SUMIF($B6:$B13,"kötelező",D6:D13)</f>
        <v>1255</v>
      </c>
      <c r="E15" s="154">
        <f t="shared" ref="E15" si="14">SUMIF($B6:$B13,"kötelező",E6:E13)</f>
        <v>1255</v>
      </c>
      <c r="F15" s="154">
        <f t="shared" si="13"/>
        <v>0</v>
      </c>
      <c r="G15" s="154">
        <f t="shared" ref="G15" si="15">SUMIF($B6:$B13,"kötelező",G6:G13)</f>
        <v>0</v>
      </c>
      <c r="H15" s="154">
        <f t="shared" si="13"/>
        <v>1354.9</v>
      </c>
      <c r="I15" s="154">
        <f t="shared" ref="I15" si="16">SUMIF($B6:$B13,"kötelező",I6:I13)</f>
        <v>1354.9</v>
      </c>
      <c r="J15" s="154">
        <f t="shared" si="13"/>
        <v>0</v>
      </c>
      <c r="K15" s="154">
        <f t="shared" ref="K15" si="17">SUMIF($B6:$B13,"kötelező",K6:K13)</f>
        <v>0</v>
      </c>
      <c r="L15" s="154">
        <f t="shared" si="13"/>
        <v>0</v>
      </c>
      <c r="M15" s="154">
        <f t="shared" ref="M15" si="18">SUMIF($B6:$B13,"kötelező",M6:M13)</f>
        <v>0</v>
      </c>
      <c r="N15" s="154">
        <f t="shared" si="13"/>
        <v>0</v>
      </c>
      <c r="O15" s="154">
        <f t="shared" ref="O15:Q15" si="19">SUMIF($B6:$B13,"kötelező",O6:O13)</f>
        <v>0</v>
      </c>
      <c r="P15" s="154">
        <f t="shared" si="13"/>
        <v>0</v>
      </c>
      <c r="Q15" s="154">
        <f t="shared" si="19"/>
        <v>0</v>
      </c>
      <c r="R15" s="154">
        <f t="shared" si="13"/>
        <v>13629.1</v>
      </c>
      <c r="S15" s="154">
        <f t="shared" ref="S15" si="20">SUMIF($B6:$B13,"kötelező",S6:S13)</f>
        <v>13629.1</v>
      </c>
      <c r="T15" s="154">
        <f t="shared" si="13"/>
        <v>16239</v>
      </c>
      <c r="U15" s="154">
        <f t="shared" ref="U15:V15" si="21">SUMIF($B6:$B13,"kötelező",U6:U13)</f>
        <v>350</v>
      </c>
      <c r="V15" s="154">
        <f t="shared" si="21"/>
        <v>16239</v>
      </c>
    </row>
    <row r="16" spans="1:22" x14ac:dyDescent="0.25">
      <c r="A16" s="171">
        <v>14</v>
      </c>
      <c r="B16" s="56"/>
      <c r="C16" s="57" t="s">
        <v>239</v>
      </c>
      <c r="D16" s="154">
        <f t="shared" ref="D16:T16" si="22">SUMIF($B6:$B13,"nem kötelező",D6:D13)</f>
        <v>2911</v>
      </c>
      <c r="E16" s="154">
        <f t="shared" ref="E16" si="23">SUMIF($B6:$B13,"nem kötelező",E6:E13)</f>
        <v>2911</v>
      </c>
      <c r="F16" s="154">
        <f t="shared" si="22"/>
        <v>0</v>
      </c>
      <c r="G16" s="154">
        <f t="shared" ref="G16" si="24">SUMIF($B6:$B13,"nem kötelező",G6:G13)</f>
        <v>0</v>
      </c>
      <c r="H16" s="154">
        <f t="shared" si="22"/>
        <v>351</v>
      </c>
      <c r="I16" s="154">
        <f t="shared" ref="I16" si="25">SUMIF($B6:$B13,"nem kötelező",I6:I13)</f>
        <v>4560.9840000000004</v>
      </c>
      <c r="J16" s="154">
        <f t="shared" si="22"/>
        <v>0</v>
      </c>
      <c r="K16" s="154">
        <f t="shared" ref="K16" si="26">SUMIF($B6:$B13,"nem kötelező",K6:K13)</f>
        <v>0</v>
      </c>
      <c r="L16" s="154">
        <f t="shared" si="22"/>
        <v>258</v>
      </c>
      <c r="M16" s="154">
        <f t="shared" ref="M16" si="27">SUMIF($B6:$B13,"nem kötelező",M6:M13)</f>
        <v>258</v>
      </c>
      <c r="N16" s="154">
        <f t="shared" si="22"/>
        <v>0</v>
      </c>
      <c r="O16" s="154">
        <f t="shared" ref="O16:Q16" si="28">SUMIF($B6:$B13,"nem kötelező",O6:O13)</f>
        <v>0</v>
      </c>
      <c r="P16" s="154">
        <f t="shared" si="22"/>
        <v>10680.674000000001</v>
      </c>
      <c r="Q16" s="154">
        <f t="shared" si="28"/>
        <v>10680.674000000001</v>
      </c>
      <c r="R16" s="154">
        <f t="shared" si="22"/>
        <v>16257.335999999999</v>
      </c>
      <c r="S16" s="154">
        <f t="shared" ref="S16" si="29">SUMIF($B6:$B13,"nem kötelező",S6:S13)</f>
        <v>16257.335999999999</v>
      </c>
      <c r="T16" s="154">
        <f t="shared" si="22"/>
        <v>30458.010000000002</v>
      </c>
      <c r="U16" s="154">
        <f t="shared" ref="U16:V16" si="30">SUMIF($B6:$B13,"nem kötelező",U6:U13)</f>
        <v>13</v>
      </c>
      <c r="V16" s="154">
        <f t="shared" si="30"/>
        <v>34667.993999999999</v>
      </c>
    </row>
    <row r="17" spans="2:20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</sheetData>
  <mergeCells count="10">
    <mergeCell ref="B3:V3"/>
    <mergeCell ref="D4:E4"/>
    <mergeCell ref="F4:G4"/>
    <mergeCell ref="H4:I4"/>
    <mergeCell ref="J4:K4"/>
    <mergeCell ref="L4:M4"/>
    <mergeCell ref="N4:O4"/>
    <mergeCell ref="R4:S4"/>
    <mergeCell ref="T4:V4"/>
    <mergeCell ref="P4:Q4"/>
  </mergeCells>
  <printOptions horizontalCentered="1"/>
  <pageMargins left="0.70866141732283472" right="0.15748031496062992" top="0.74803149606299213" bottom="0.74803149606299213" header="0.31496062992125984" footer="0.31496062992125984"/>
  <pageSetup paperSize="8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110"/>
  <sheetViews>
    <sheetView view="pageBreakPreview" zoomScaleNormal="100" zoomScaleSheetLayoutView="100" workbookViewId="0">
      <pane xSplit="3" ySplit="4" topLeftCell="G65" activePane="bottomRight" state="frozen"/>
      <selection pane="topRight" activeCell="D1" sqref="D1"/>
      <selection pane="bottomLeft" activeCell="A6" sqref="A6"/>
      <selection pane="bottomRight" activeCell="O30" sqref="O30"/>
    </sheetView>
  </sheetViews>
  <sheetFormatPr defaultRowHeight="15" x14ac:dyDescent="0.25"/>
  <cols>
    <col min="1" max="1" width="6" style="68" customWidth="1"/>
    <col min="2" max="2" width="15" style="68" customWidth="1"/>
    <col min="3" max="3" width="63.5703125" style="68" customWidth="1"/>
    <col min="4" max="4" width="12.42578125" style="68" bestFit="1" customWidth="1"/>
    <col min="5" max="5" width="12.42578125" style="68" customWidth="1"/>
    <col min="6" max="7" width="13.28515625" style="68" customWidth="1"/>
    <col min="8" max="8" width="13.85546875" style="68" customWidth="1"/>
    <col min="9" max="9" width="13" style="68" customWidth="1"/>
    <col min="10" max="13" width="13.5703125" style="68" customWidth="1"/>
    <col min="14" max="15" width="12.28515625" style="68" customWidth="1"/>
    <col min="16" max="19" width="13.7109375" style="68" customWidth="1"/>
    <col min="20" max="21" width="14.85546875" style="68" customWidth="1"/>
    <col min="22" max="25" width="12.28515625" style="68" customWidth="1"/>
    <col min="26" max="27" width="13" style="68" customWidth="1"/>
    <col min="28" max="28" width="15.28515625" style="68" bestFit="1" customWidth="1"/>
    <col min="29" max="29" width="14.28515625" style="68" bestFit="1" customWidth="1"/>
    <col min="30" max="30" width="15.28515625" style="68" bestFit="1" customWidth="1"/>
    <col min="31" max="31" width="14.85546875" style="68" customWidth="1"/>
    <col min="32" max="32" width="16.42578125" style="68" customWidth="1"/>
    <col min="33" max="34" width="12.28515625" style="68" hidden="1" customWidth="1"/>
    <col min="35" max="35" width="10.140625" style="68" bestFit="1" customWidth="1"/>
    <col min="36" max="16384" width="9.140625" style="68"/>
  </cols>
  <sheetData>
    <row r="1" spans="1:34" x14ac:dyDescent="0.25">
      <c r="X1" s="413" t="s">
        <v>429</v>
      </c>
      <c r="Y1" s="413"/>
      <c r="Z1" s="413"/>
      <c r="AA1" s="413"/>
      <c r="AB1" s="413"/>
      <c r="AC1" s="413"/>
      <c r="AD1" s="413"/>
      <c r="AE1" s="251"/>
      <c r="AF1" s="175"/>
    </row>
    <row r="2" spans="1:34" ht="48" customHeight="1" x14ac:dyDescent="0.25">
      <c r="A2" s="64">
        <v>1</v>
      </c>
      <c r="B2" s="64"/>
      <c r="C2" s="411" t="s">
        <v>430</v>
      </c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79"/>
      <c r="AH2" s="79"/>
    </row>
    <row r="3" spans="1:34" ht="72.75" customHeight="1" x14ac:dyDescent="0.25">
      <c r="A3" s="64">
        <v>2</v>
      </c>
      <c r="B3" s="80" t="s">
        <v>202</v>
      </c>
      <c r="C3" s="81" t="s">
        <v>203</v>
      </c>
      <c r="D3" s="414" t="s">
        <v>90</v>
      </c>
      <c r="E3" s="415"/>
      <c r="F3" s="414" t="s">
        <v>270</v>
      </c>
      <c r="G3" s="415"/>
      <c r="H3" s="414" t="s">
        <v>92</v>
      </c>
      <c r="I3" s="415"/>
      <c r="J3" s="414" t="s">
        <v>271</v>
      </c>
      <c r="K3" s="415"/>
      <c r="L3" s="414" t="s">
        <v>272</v>
      </c>
      <c r="M3" s="415"/>
      <c r="N3" s="414" t="s">
        <v>273</v>
      </c>
      <c r="O3" s="415"/>
      <c r="P3" s="414" t="s">
        <v>347</v>
      </c>
      <c r="Q3" s="415"/>
      <c r="R3" s="414" t="s">
        <v>348</v>
      </c>
      <c r="S3" s="415"/>
      <c r="T3" s="414" t="s">
        <v>108</v>
      </c>
      <c r="U3" s="415"/>
      <c r="V3" s="414" t="s">
        <v>111</v>
      </c>
      <c r="W3" s="415"/>
      <c r="X3" s="414" t="s">
        <v>274</v>
      </c>
      <c r="Y3" s="415"/>
      <c r="Z3" s="414" t="s">
        <v>275</v>
      </c>
      <c r="AA3" s="415"/>
      <c r="AB3" s="414" t="s">
        <v>242</v>
      </c>
      <c r="AC3" s="415"/>
      <c r="AD3" s="414" t="s">
        <v>276</v>
      </c>
      <c r="AE3" s="415"/>
      <c r="AF3" s="82" t="s">
        <v>277</v>
      </c>
      <c r="AG3" s="83"/>
      <c r="AH3" s="83"/>
    </row>
    <row r="4" spans="1:34" ht="30" x14ac:dyDescent="0.25">
      <c r="A4" s="64">
        <v>3</v>
      </c>
      <c r="B4" s="80"/>
      <c r="C4" s="81" t="s">
        <v>278</v>
      </c>
      <c r="D4" s="84" t="s">
        <v>431</v>
      </c>
      <c r="E4" s="84" t="s">
        <v>417</v>
      </c>
      <c r="F4" s="84" t="s">
        <v>431</v>
      </c>
      <c r="G4" s="84" t="s">
        <v>417</v>
      </c>
      <c r="H4" s="84" t="s">
        <v>431</v>
      </c>
      <c r="I4" s="84" t="s">
        <v>417</v>
      </c>
      <c r="J4" s="84" t="s">
        <v>431</v>
      </c>
      <c r="K4" s="84" t="s">
        <v>417</v>
      </c>
      <c r="L4" s="84" t="s">
        <v>431</v>
      </c>
      <c r="M4" s="84" t="s">
        <v>417</v>
      </c>
      <c r="N4" s="84" t="s">
        <v>431</v>
      </c>
      <c r="O4" s="84" t="s">
        <v>417</v>
      </c>
      <c r="P4" s="84" t="s">
        <v>431</v>
      </c>
      <c r="Q4" s="84" t="s">
        <v>417</v>
      </c>
      <c r="R4" s="84" t="s">
        <v>431</v>
      </c>
      <c r="S4" s="84" t="s">
        <v>417</v>
      </c>
      <c r="T4" s="84" t="s">
        <v>432</v>
      </c>
      <c r="U4" s="84" t="s">
        <v>417</v>
      </c>
      <c r="V4" s="84" t="s">
        <v>431</v>
      </c>
      <c r="W4" s="84" t="s">
        <v>417</v>
      </c>
      <c r="X4" s="84" t="s">
        <v>431</v>
      </c>
      <c r="Y4" s="84" t="s">
        <v>417</v>
      </c>
      <c r="Z4" s="84" t="s">
        <v>431</v>
      </c>
      <c r="AA4" s="84" t="s">
        <v>417</v>
      </c>
      <c r="AB4" s="84" t="s">
        <v>431</v>
      </c>
      <c r="AC4" s="84" t="s">
        <v>417</v>
      </c>
      <c r="AD4" s="84" t="s">
        <v>431</v>
      </c>
      <c r="AE4" s="84" t="s">
        <v>417</v>
      </c>
      <c r="AF4" s="84" t="s">
        <v>431</v>
      </c>
      <c r="AG4" s="84" t="s">
        <v>433</v>
      </c>
      <c r="AH4" s="84" t="s">
        <v>210</v>
      </c>
    </row>
    <row r="5" spans="1:34" x14ac:dyDescent="0.25">
      <c r="A5" s="64">
        <v>4</v>
      </c>
      <c r="B5" s="64" t="s">
        <v>215</v>
      </c>
      <c r="C5" s="65" t="s">
        <v>279</v>
      </c>
      <c r="D5" s="134">
        <v>385</v>
      </c>
      <c r="E5" s="134">
        <f>D5</f>
        <v>385</v>
      </c>
      <c r="F5" s="134"/>
      <c r="G5" s="134"/>
      <c r="H5" s="134">
        <v>550</v>
      </c>
      <c r="I5" s="134">
        <f>H5</f>
        <v>550</v>
      </c>
      <c r="J5" s="134"/>
      <c r="K5" s="134"/>
      <c r="L5" s="134">
        <v>100</v>
      </c>
      <c r="M5" s="134">
        <f>L5</f>
        <v>100</v>
      </c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5">
        <f>D5+F5+H5+J5+L5+N5+P5+R5+T5+V5+X5+Z5</f>
        <v>1035</v>
      </c>
      <c r="AC5" s="135">
        <f>E5+G5+I5+K5+M5+O5+Q5+S5+U5+W5+Y5+AA5</f>
        <v>1035</v>
      </c>
      <c r="AD5" s="136"/>
      <c r="AE5" s="136"/>
      <c r="AF5" s="136"/>
      <c r="AG5" s="67"/>
      <c r="AH5" s="67">
        <v>4836</v>
      </c>
    </row>
    <row r="6" spans="1:34" x14ac:dyDescent="0.25">
      <c r="A6" s="64">
        <v>5</v>
      </c>
      <c r="B6" s="64" t="s">
        <v>211</v>
      </c>
      <c r="C6" s="65" t="s">
        <v>322</v>
      </c>
      <c r="D6" s="134">
        <v>15859.5</v>
      </c>
      <c r="E6" s="134">
        <f t="shared" ref="E6" si="0">D6</f>
        <v>15859.5</v>
      </c>
      <c r="F6" s="134">
        <v>3115</v>
      </c>
      <c r="G6" s="134">
        <f>F6</f>
        <v>3115</v>
      </c>
      <c r="H6" s="134">
        <v>1131</v>
      </c>
      <c r="I6" s="134">
        <f>H6</f>
        <v>1131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5">
        <f t="shared" ref="AB6:AB69" si="1">D6+F6+H6+J6+L6+N6+P6+R6+T6+V6+X6+Z6</f>
        <v>20105.5</v>
      </c>
      <c r="AC6" s="135">
        <f t="shared" ref="AC6:AC69" si="2">E6+G6+I6+K6+M6+O6+Q6+S6+U6+W6+Y6+AA6</f>
        <v>20105.5</v>
      </c>
      <c r="AD6" s="136"/>
      <c r="AE6" s="136"/>
      <c r="AF6" s="136"/>
      <c r="AG6" s="67"/>
      <c r="AH6" s="67"/>
    </row>
    <row r="7" spans="1:34" x14ac:dyDescent="0.25">
      <c r="A7" s="64">
        <v>6</v>
      </c>
      <c r="B7" s="64" t="s">
        <v>211</v>
      </c>
      <c r="C7" s="65" t="s">
        <v>484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5">
        <f t="shared" si="1"/>
        <v>0</v>
      </c>
      <c r="AC7" s="135">
        <f t="shared" si="2"/>
        <v>0</v>
      </c>
      <c r="AD7" s="136"/>
      <c r="AE7" s="136"/>
      <c r="AF7" s="136"/>
      <c r="AG7" s="67"/>
      <c r="AH7" s="67"/>
    </row>
    <row r="8" spans="1:34" x14ac:dyDescent="0.25">
      <c r="A8" s="64">
        <v>7</v>
      </c>
      <c r="B8" s="64" t="s">
        <v>215</v>
      </c>
      <c r="C8" s="65" t="s">
        <v>515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5">
        <f t="shared" si="1"/>
        <v>0</v>
      </c>
      <c r="AC8" s="135">
        <f t="shared" si="2"/>
        <v>0</v>
      </c>
      <c r="AD8" s="136"/>
      <c r="AE8" s="136"/>
      <c r="AF8" s="136"/>
      <c r="AG8" s="67"/>
      <c r="AH8" s="67"/>
    </row>
    <row r="9" spans="1:34" ht="15.75" x14ac:dyDescent="0.25">
      <c r="A9" s="64">
        <v>8</v>
      </c>
      <c r="B9" s="64" t="s">
        <v>215</v>
      </c>
      <c r="C9" s="65" t="s">
        <v>489</v>
      </c>
      <c r="D9" s="137"/>
      <c r="E9" s="137"/>
      <c r="F9" s="137"/>
      <c r="G9" s="137"/>
      <c r="H9" s="138"/>
      <c r="I9" s="138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5">
        <f t="shared" si="1"/>
        <v>0</v>
      </c>
      <c r="AC9" s="135">
        <f t="shared" si="2"/>
        <v>0</v>
      </c>
      <c r="AD9" s="136"/>
      <c r="AE9" s="136"/>
      <c r="AF9" s="136"/>
      <c r="AG9" s="67"/>
      <c r="AH9" s="67">
        <v>176</v>
      </c>
    </row>
    <row r="10" spans="1:34" ht="15.75" x14ac:dyDescent="0.25">
      <c r="A10" s="64">
        <v>9</v>
      </c>
      <c r="B10" s="64" t="s">
        <v>211</v>
      </c>
      <c r="C10" s="65" t="s">
        <v>490</v>
      </c>
      <c r="D10" s="137"/>
      <c r="E10" s="137"/>
      <c r="F10" s="137"/>
      <c r="G10" s="137"/>
      <c r="H10" s="138"/>
      <c r="I10" s="138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9"/>
      <c r="W10" s="139"/>
      <c r="X10" s="137"/>
      <c r="Y10" s="137"/>
      <c r="Z10" s="137"/>
      <c r="AA10" s="137"/>
      <c r="AB10" s="135">
        <f t="shared" si="1"/>
        <v>0</v>
      </c>
      <c r="AC10" s="135">
        <f t="shared" si="2"/>
        <v>0</v>
      </c>
      <c r="AD10" s="136"/>
      <c r="AE10" s="136"/>
      <c r="AF10" s="136"/>
      <c r="AG10" s="67"/>
      <c r="AH10" s="67">
        <v>10154</v>
      </c>
    </row>
    <row r="11" spans="1:34" x14ac:dyDescent="0.25">
      <c r="A11" s="64">
        <v>10</v>
      </c>
      <c r="B11" s="64" t="s">
        <v>211</v>
      </c>
      <c r="C11" s="65" t="s">
        <v>516</v>
      </c>
      <c r="D11" s="137"/>
      <c r="E11" s="137"/>
      <c r="F11" s="137"/>
      <c r="G11" s="137"/>
      <c r="H11" s="138"/>
      <c r="I11" s="138"/>
      <c r="J11" s="137"/>
      <c r="K11" s="137"/>
      <c r="L11" s="137"/>
      <c r="M11" s="137"/>
      <c r="N11" s="137"/>
      <c r="O11" s="137"/>
      <c r="P11" s="137">
        <v>1000</v>
      </c>
      <c r="Q11" s="137">
        <f>P11</f>
        <v>1000</v>
      </c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5">
        <f t="shared" si="1"/>
        <v>1000</v>
      </c>
      <c r="AC11" s="135">
        <f t="shared" si="2"/>
        <v>1000</v>
      </c>
      <c r="AD11" s="136"/>
      <c r="AE11" s="136"/>
      <c r="AF11" s="136"/>
      <c r="AG11" s="67"/>
      <c r="AH11" s="67">
        <v>512</v>
      </c>
    </row>
    <row r="12" spans="1:34" x14ac:dyDescent="0.25">
      <c r="A12" s="64">
        <v>11</v>
      </c>
      <c r="B12" s="64" t="s">
        <v>211</v>
      </c>
      <c r="C12" s="65" t="s">
        <v>517</v>
      </c>
      <c r="D12" s="137"/>
      <c r="E12" s="137"/>
      <c r="F12" s="137"/>
      <c r="G12" s="137"/>
      <c r="H12" s="138"/>
      <c r="I12" s="138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>
        <v>800.7</v>
      </c>
      <c r="W12" s="137">
        <f>V12</f>
        <v>800.7</v>
      </c>
      <c r="X12" s="137"/>
      <c r="Y12" s="137"/>
      <c r="Z12" s="137"/>
      <c r="AA12" s="137"/>
      <c r="AB12" s="135">
        <f t="shared" si="1"/>
        <v>800.7</v>
      </c>
      <c r="AC12" s="135">
        <f t="shared" si="2"/>
        <v>800.7</v>
      </c>
      <c r="AD12" s="136"/>
      <c r="AE12" s="136"/>
      <c r="AF12" s="136"/>
      <c r="AG12" s="67"/>
      <c r="AH12" s="67">
        <v>9765</v>
      </c>
    </row>
    <row r="13" spans="1:34" x14ac:dyDescent="0.25">
      <c r="A13" s="64">
        <v>12</v>
      </c>
      <c r="B13" s="64" t="s">
        <v>211</v>
      </c>
      <c r="C13" s="65" t="s">
        <v>280</v>
      </c>
      <c r="D13" s="137"/>
      <c r="E13" s="137"/>
      <c r="F13" s="137"/>
      <c r="G13" s="137"/>
      <c r="H13" s="138">
        <v>30</v>
      </c>
      <c r="I13" s="138">
        <f>H13</f>
        <v>30</v>
      </c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8"/>
      <c r="Y13" s="138"/>
      <c r="Z13" s="137"/>
      <c r="AA13" s="137"/>
      <c r="AB13" s="135">
        <f t="shared" si="1"/>
        <v>30</v>
      </c>
      <c r="AC13" s="135">
        <f t="shared" si="2"/>
        <v>30</v>
      </c>
      <c r="AD13" s="136"/>
      <c r="AE13" s="136"/>
      <c r="AF13" s="136"/>
      <c r="AG13" s="67"/>
      <c r="AH13" s="67"/>
    </row>
    <row r="14" spans="1:34" x14ac:dyDescent="0.25">
      <c r="A14" s="64">
        <v>13</v>
      </c>
      <c r="B14" s="64" t="s">
        <v>211</v>
      </c>
      <c r="C14" s="65" t="s">
        <v>518</v>
      </c>
      <c r="D14" s="137"/>
      <c r="E14" s="137"/>
      <c r="F14" s="137"/>
      <c r="G14" s="137"/>
      <c r="H14" s="138">
        <v>614</v>
      </c>
      <c r="I14" s="138">
        <f t="shared" ref="I14:I15" si="3">H14</f>
        <v>614</v>
      </c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>
        <v>500</v>
      </c>
      <c r="W14" s="137">
        <f>V14</f>
        <v>500</v>
      </c>
      <c r="X14" s="138"/>
      <c r="Y14" s="138"/>
      <c r="Z14" s="137"/>
      <c r="AA14" s="137"/>
      <c r="AB14" s="135">
        <f t="shared" si="1"/>
        <v>1114</v>
      </c>
      <c r="AC14" s="135">
        <f t="shared" si="2"/>
        <v>1114</v>
      </c>
      <c r="AD14" s="136"/>
      <c r="AE14" s="136"/>
      <c r="AF14" s="136"/>
      <c r="AG14" s="67"/>
      <c r="AH14" s="67"/>
    </row>
    <row r="15" spans="1:34" ht="25.5" x14ac:dyDescent="0.25">
      <c r="A15" s="64">
        <v>14</v>
      </c>
      <c r="B15" s="64" t="s">
        <v>211</v>
      </c>
      <c r="C15" s="155" t="s">
        <v>519</v>
      </c>
      <c r="D15" s="137"/>
      <c r="E15" s="137"/>
      <c r="F15" s="137"/>
      <c r="G15" s="137"/>
      <c r="H15" s="138">
        <v>9150</v>
      </c>
      <c r="I15" s="138">
        <f t="shared" si="3"/>
        <v>9150</v>
      </c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>
        <v>144.28</v>
      </c>
      <c r="U15" s="137">
        <f>T15</f>
        <v>144.28</v>
      </c>
      <c r="V15" s="137"/>
      <c r="W15" s="137"/>
      <c r="X15" s="138"/>
      <c r="Y15" s="138"/>
      <c r="Z15" s="137"/>
      <c r="AA15" s="137"/>
      <c r="AB15" s="135">
        <f t="shared" si="1"/>
        <v>9294.2800000000007</v>
      </c>
      <c r="AC15" s="135">
        <f t="shared" si="2"/>
        <v>9294.2800000000007</v>
      </c>
      <c r="AD15" s="136"/>
      <c r="AE15" s="136"/>
      <c r="AF15" s="136"/>
      <c r="AG15" s="67"/>
      <c r="AH15" s="67"/>
    </row>
    <row r="16" spans="1:34" x14ac:dyDescent="0.25">
      <c r="A16" s="64">
        <v>15</v>
      </c>
      <c r="B16" s="64" t="s">
        <v>215</v>
      </c>
      <c r="C16" s="65" t="s">
        <v>520</v>
      </c>
      <c r="D16" s="137"/>
      <c r="E16" s="137"/>
      <c r="F16" s="137"/>
      <c r="G16" s="137"/>
      <c r="H16" s="138"/>
      <c r="I16" s="138"/>
      <c r="J16" s="138"/>
      <c r="K16" s="138"/>
      <c r="L16" s="138"/>
      <c r="M16" s="138"/>
      <c r="N16" s="138"/>
      <c r="O16" s="138"/>
      <c r="P16" s="137"/>
      <c r="Q16" s="137"/>
      <c r="R16" s="137"/>
      <c r="S16" s="137"/>
      <c r="T16" s="137"/>
      <c r="U16" s="137"/>
      <c r="V16" s="137"/>
      <c r="W16" s="137"/>
      <c r="X16" s="137">
        <v>3517.94</v>
      </c>
      <c r="Y16" s="137">
        <f>X16</f>
        <v>3517.94</v>
      </c>
      <c r="Z16" s="137"/>
      <c r="AA16" s="137"/>
      <c r="AB16" s="135">
        <f t="shared" si="1"/>
        <v>3517.94</v>
      </c>
      <c r="AC16" s="135">
        <f t="shared" si="2"/>
        <v>3517.94</v>
      </c>
      <c r="AD16" s="136"/>
      <c r="AE16" s="136"/>
      <c r="AF16" s="136"/>
      <c r="AG16" s="67"/>
      <c r="AH16" s="67">
        <v>1425</v>
      </c>
    </row>
    <row r="17" spans="1:34" x14ac:dyDescent="0.25">
      <c r="A17" s="64">
        <v>16</v>
      </c>
      <c r="B17" s="64" t="s">
        <v>215</v>
      </c>
      <c r="C17" s="65" t="s">
        <v>303</v>
      </c>
      <c r="D17" s="137"/>
      <c r="E17" s="137"/>
      <c r="F17" s="137"/>
      <c r="G17" s="137"/>
      <c r="H17" s="138"/>
      <c r="I17" s="138"/>
      <c r="J17" s="138"/>
      <c r="K17" s="138"/>
      <c r="L17" s="138"/>
      <c r="M17" s="138"/>
      <c r="N17" s="138"/>
      <c r="O17" s="138"/>
      <c r="P17" s="137"/>
      <c r="Q17" s="137"/>
      <c r="R17" s="137"/>
      <c r="S17" s="137"/>
      <c r="T17" s="137"/>
      <c r="U17" s="137"/>
      <c r="V17" s="137"/>
      <c r="W17" s="137"/>
      <c r="X17" s="137">
        <v>12805.082</v>
      </c>
      <c r="Y17" s="137">
        <f>X17</f>
        <v>12805.082</v>
      </c>
      <c r="Z17" s="137"/>
      <c r="AA17" s="137"/>
      <c r="AB17" s="135">
        <f t="shared" si="1"/>
        <v>12805.082</v>
      </c>
      <c r="AC17" s="135">
        <f t="shared" si="2"/>
        <v>12805.082</v>
      </c>
      <c r="AD17" s="136"/>
      <c r="AE17" s="136"/>
      <c r="AF17" s="136"/>
      <c r="AG17" s="67"/>
      <c r="AH17" s="67">
        <v>96</v>
      </c>
    </row>
    <row r="18" spans="1:34" s="325" customFormat="1" x14ac:dyDescent="0.25">
      <c r="A18" s="317">
        <v>17</v>
      </c>
      <c r="B18" s="317" t="s">
        <v>215</v>
      </c>
      <c r="C18" s="326" t="s">
        <v>307</v>
      </c>
      <c r="D18" s="321"/>
      <c r="E18" s="321"/>
      <c r="F18" s="321"/>
      <c r="G18" s="321"/>
      <c r="H18" s="327"/>
      <c r="I18" s="327"/>
      <c r="J18" s="327"/>
      <c r="K18" s="327"/>
      <c r="L18" s="327"/>
      <c r="M18" s="327"/>
      <c r="N18" s="327"/>
      <c r="O18" s="327"/>
      <c r="P18" s="321"/>
      <c r="Q18" s="321"/>
      <c r="R18" s="321"/>
      <c r="S18" s="321"/>
      <c r="T18" s="321"/>
      <c r="U18" s="321"/>
      <c r="V18" s="321"/>
      <c r="W18" s="321"/>
      <c r="X18" s="321">
        <f>5778.008</f>
        <v>5778.0079999999998</v>
      </c>
      <c r="Y18" s="321">
        <f>X18+9332.1-100-125.759-2419.875-418.25-944.96-61.224-247.894-100+15.1-108</f>
        <v>10599.245999999999</v>
      </c>
      <c r="Z18" s="321"/>
      <c r="AA18" s="321"/>
      <c r="AB18" s="135">
        <f t="shared" si="1"/>
        <v>5778.0079999999998</v>
      </c>
      <c r="AC18" s="135">
        <f t="shared" si="2"/>
        <v>10599.245999999999</v>
      </c>
      <c r="AD18" s="323"/>
      <c r="AE18" s="323"/>
      <c r="AF18" s="323"/>
      <c r="AG18" s="324"/>
      <c r="AH18" s="324">
        <v>250</v>
      </c>
    </row>
    <row r="19" spans="1:34" x14ac:dyDescent="0.25">
      <c r="A19" s="64">
        <v>18</v>
      </c>
      <c r="B19" s="64" t="s">
        <v>215</v>
      </c>
      <c r="C19" s="65" t="s">
        <v>374</v>
      </c>
      <c r="D19" s="137"/>
      <c r="E19" s="137"/>
      <c r="F19" s="137"/>
      <c r="G19" s="137"/>
      <c r="H19" s="138"/>
      <c r="I19" s="138"/>
      <c r="J19" s="138">
        <v>2000</v>
      </c>
      <c r="K19" s="138">
        <f>J19</f>
        <v>2000</v>
      </c>
      <c r="L19" s="138"/>
      <c r="M19" s="138"/>
      <c r="N19" s="138"/>
      <c r="O19" s="138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5">
        <f t="shared" si="1"/>
        <v>2000</v>
      </c>
      <c r="AC19" s="135">
        <f t="shared" si="2"/>
        <v>2000</v>
      </c>
      <c r="AD19" s="136"/>
      <c r="AE19" s="136"/>
      <c r="AF19" s="136"/>
      <c r="AG19" s="67"/>
      <c r="AH19" s="67">
        <v>80</v>
      </c>
    </row>
    <row r="20" spans="1:34" x14ac:dyDescent="0.25">
      <c r="A20" s="64">
        <v>19</v>
      </c>
      <c r="B20" s="64" t="s">
        <v>215</v>
      </c>
      <c r="C20" s="65" t="s">
        <v>331</v>
      </c>
      <c r="D20" s="137"/>
      <c r="E20" s="137"/>
      <c r="F20" s="137"/>
      <c r="G20" s="137"/>
      <c r="H20" s="138"/>
      <c r="I20" s="138"/>
      <c r="J20" s="138">
        <v>150</v>
      </c>
      <c r="K20" s="138">
        <f>J20</f>
        <v>150</v>
      </c>
      <c r="L20" s="138"/>
      <c r="M20" s="138"/>
      <c r="N20" s="138"/>
      <c r="O20" s="138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5">
        <f t="shared" si="1"/>
        <v>150</v>
      </c>
      <c r="AC20" s="135">
        <f t="shared" si="2"/>
        <v>150</v>
      </c>
      <c r="AD20" s="136"/>
      <c r="AE20" s="136"/>
      <c r="AF20" s="136"/>
      <c r="AG20" s="67"/>
      <c r="AH20" s="67">
        <v>146</v>
      </c>
    </row>
    <row r="21" spans="1:34" s="325" customFormat="1" x14ac:dyDescent="0.25">
      <c r="A21" s="317">
        <v>20</v>
      </c>
      <c r="B21" s="317" t="s">
        <v>215</v>
      </c>
      <c r="C21" s="326" t="s">
        <v>329</v>
      </c>
      <c r="D21" s="321"/>
      <c r="E21" s="321"/>
      <c r="F21" s="321"/>
      <c r="G21" s="321"/>
      <c r="H21" s="327"/>
      <c r="I21" s="327"/>
      <c r="J21" s="327"/>
      <c r="K21" s="327"/>
      <c r="L21" s="327">
        <v>620</v>
      </c>
      <c r="M21" s="327">
        <f>L21-620</f>
        <v>0</v>
      </c>
      <c r="N21" s="327"/>
      <c r="O21" s="327">
        <v>620</v>
      </c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135">
        <f t="shared" si="1"/>
        <v>620</v>
      </c>
      <c r="AC21" s="135">
        <f t="shared" si="2"/>
        <v>620</v>
      </c>
      <c r="AD21" s="323"/>
      <c r="AE21" s="323"/>
      <c r="AF21" s="323"/>
      <c r="AG21" s="324"/>
      <c r="AH21" s="324">
        <v>132</v>
      </c>
    </row>
    <row r="22" spans="1:34" x14ac:dyDescent="0.25">
      <c r="A22" s="64">
        <v>21</v>
      </c>
      <c r="B22" s="64" t="s">
        <v>215</v>
      </c>
      <c r="C22" s="65" t="s">
        <v>281</v>
      </c>
      <c r="D22" s="137"/>
      <c r="E22" s="137"/>
      <c r="F22" s="137"/>
      <c r="G22" s="137"/>
      <c r="H22" s="138"/>
      <c r="I22" s="138"/>
      <c r="J22" s="138"/>
      <c r="K22" s="138"/>
      <c r="L22" s="137">
        <v>50</v>
      </c>
      <c r="M22" s="137">
        <f>L22</f>
        <v>50</v>
      </c>
      <c r="N22" s="137"/>
      <c r="O22" s="137"/>
      <c r="P22" s="137"/>
      <c r="Q22" s="137"/>
      <c r="R22" s="137"/>
      <c r="S22" s="137"/>
      <c r="T22" s="137"/>
      <c r="U22" s="137"/>
      <c r="V22" s="156"/>
      <c r="W22" s="156"/>
      <c r="X22" s="135"/>
      <c r="Y22" s="135"/>
      <c r="Z22" s="140"/>
      <c r="AA22" s="140"/>
      <c r="AB22" s="135">
        <f t="shared" si="1"/>
        <v>50</v>
      </c>
      <c r="AC22" s="135">
        <f t="shared" si="2"/>
        <v>50</v>
      </c>
      <c r="AD22" s="140"/>
      <c r="AE22" s="140"/>
      <c r="AF22" s="140"/>
      <c r="AG22" s="85"/>
      <c r="AH22" s="157">
        <v>10579</v>
      </c>
    </row>
    <row r="23" spans="1:34" x14ac:dyDescent="0.25">
      <c r="A23" s="64">
        <v>22</v>
      </c>
      <c r="B23" s="64" t="s">
        <v>211</v>
      </c>
      <c r="C23" s="65" t="s">
        <v>521</v>
      </c>
      <c r="D23" s="137"/>
      <c r="E23" s="137"/>
      <c r="F23" s="137"/>
      <c r="G23" s="137"/>
      <c r="H23" s="138"/>
      <c r="I23" s="138"/>
      <c r="J23" s="138">
        <v>1000</v>
      </c>
      <c r="K23" s="138">
        <f>J23</f>
        <v>1000</v>
      </c>
      <c r="L23" s="137"/>
      <c r="M23" s="137"/>
      <c r="N23" s="137"/>
      <c r="O23" s="137"/>
      <c r="P23" s="138"/>
      <c r="Q23" s="138"/>
      <c r="R23" s="138"/>
      <c r="S23" s="138"/>
      <c r="T23" s="137"/>
      <c r="U23" s="137"/>
      <c r="V23" s="156"/>
      <c r="W23" s="137"/>
      <c r="X23" s="135"/>
      <c r="Y23" s="137"/>
      <c r="Z23" s="140"/>
      <c r="AA23" s="137"/>
      <c r="AB23" s="135">
        <f t="shared" si="1"/>
        <v>1000</v>
      </c>
      <c r="AC23" s="135">
        <f t="shared" si="2"/>
        <v>1000</v>
      </c>
      <c r="AD23" s="136"/>
      <c r="AE23" s="136"/>
      <c r="AF23" s="136"/>
      <c r="AG23" s="67"/>
      <c r="AH23" s="67">
        <v>2140</v>
      </c>
    </row>
    <row r="24" spans="1:34" x14ac:dyDescent="0.25">
      <c r="A24" s="64">
        <v>23</v>
      </c>
      <c r="B24" s="64" t="s">
        <v>211</v>
      </c>
      <c r="C24" s="65" t="s">
        <v>375</v>
      </c>
      <c r="D24" s="137"/>
      <c r="E24" s="137"/>
      <c r="F24" s="137"/>
      <c r="G24" s="137"/>
      <c r="H24" s="138"/>
      <c r="I24" s="138"/>
      <c r="J24" s="138">
        <v>300</v>
      </c>
      <c r="K24" s="138">
        <f t="shared" ref="K24:K28" si="4">J24</f>
        <v>300</v>
      </c>
      <c r="L24" s="137"/>
      <c r="M24" s="141"/>
      <c r="N24" s="137"/>
      <c r="O24" s="137"/>
      <c r="P24" s="139"/>
      <c r="Q24" s="139"/>
      <c r="R24" s="139"/>
      <c r="S24" s="139"/>
      <c r="T24" s="137"/>
      <c r="U24" s="137"/>
      <c r="V24" s="156"/>
      <c r="W24" s="137"/>
      <c r="X24" s="135"/>
      <c r="Y24" s="137"/>
      <c r="Z24" s="140"/>
      <c r="AA24" s="137"/>
      <c r="AB24" s="135">
        <f t="shared" si="1"/>
        <v>300</v>
      </c>
      <c r="AC24" s="135">
        <f t="shared" si="2"/>
        <v>300</v>
      </c>
      <c r="AD24" s="136"/>
      <c r="AE24" s="136"/>
      <c r="AF24" s="136"/>
      <c r="AG24" s="67">
        <v>8595</v>
      </c>
      <c r="AH24" s="67">
        <v>9949</v>
      </c>
    </row>
    <row r="25" spans="1:34" x14ac:dyDescent="0.25">
      <c r="A25" s="64">
        <v>24</v>
      </c>
      <c r="B25" s="64" t="s">
        <v>211</v>
      </c>
      <c r="C25" s="65" t="s">
        <v>376</v>
      </c>
      <c r="D25" s="137"/>
      <c r="E25" s="137"/>
      <c r="F25" s="137"/>
      <c r="G25" s="137"/>
      <c r="H25" s="138"/>
      <c r="I25" s="138"/>
      <c r="J25" s="138">
        <v>300</v>
      </c>
      <c r="K25" s="138">
        <f t="shared" si="4"/>
        <v>300</v>
      </c>
      <c r="L25" s="137"/>
      <c r="M25" s="141"/>
      <c r="N25" s="137"/>
      <c r="O25" s="137"/>
      <c r="P25" s="139"/>
      <c r="Q25" s="139"/>
      <c r="R25" s="139"/>
      <c r="S25" s="139"/>
      <c r="T25" s="137"/>
      <c r="U25" s="137"/>
      <c r="V25" s="156"/>
      <c r="W25" s="137"/>
      <c r="X25" s="135"/>
      <c r="Y25" s="137"/>
      <c r="Z25" s="140"/>
      <c r="AA25" s="137"/>
      <c r="AB25" s="135">
        <f t="shared" si="1"/>
        <v>300</v>
      </c>
      <c r="AC25" s="135">
        <f t="shared" si="2"/>
        <v>300</v>
      </c>
      <c r="AD25" s="136"/>
      <c r="AE25" s="136"/>
      <c r="AF25" s="136"/>
      <c r="AG25" s="67">
        <v>120201</v>
      </c>
      <c r="AH25" s="67">
        <v>69860</v>
      </c>
    </row>
    <row r="26" spans="1:34" x14ac:dyDescent="0.25">
      <c r="A26" s="64">
        <v>25</v>
      </c>
      <c r="B26" s="64" t="s">
        <v>211</v>
      </c>
      <c r="C26" s="65" t="s">
        <v>282</v>
      </c>
      <c r="D26" s="137"/>
      <c r="E26" s="137"/>
      <c r="F26" s="137"/>
      <c r="G26" s="137"/>
      <c r="H26" s="138"/>
      <c r="I26" s="138"/>
      <c r="J26" s="137">
        <v>400</v>
      </c>
      <c r="K26" s="138">
        <f t="shared" si="4"/>
        <v>400</v>
      </c>
      <c r="L26" s="137"/>
      <c r="M26" s="141"/>
      <c r="N26" s="137"/>
      <c r="O26" s="137"/>
      <c r="P26" s="141"/>
      <c r="Q26" s="141"/>
      <c r="R26" s="141"/>
      <c r="S26" s="141"/>
      <c r="T26" s="137"/>
      <c r="U26" s="137"/>
      <c r="V26" s="137"/>
      <c r="W26" s="137"/>
      <c r="X26" s="137"/>
      <c r="Y26" s="137"/>
      <c r="Z26" s="137"/>
      <c r="AA26" s="137"/>
      <c r="AB26" s="135">
        <f t="shared" si="1"/>
        <v>400</v>
      </c>
      <c r="AC26" s="135">
        <f t="shared" si="2"/>
        <v>400</v>
      </c>
      <c r="AD26" s="136"/>
      <c r="AE26" s="136"/>
      <c r="AF26" s="136"/>
      <c r="AG26" s="67"/>
      <c r="AH26" s="67"/>
    </row>
    <row r="27" spans="1:34" x14ac:dyDescent="0.25">
      <c r="A27" s="64">
        <v>26</v>
      </c>
      <c r="B27" s="64" t="s">
        <v>215</v>
      </c>
      <c r="C27" s="65" t="s">
        <v>377</v>
      </c>
      <c r="D27" s="141"/>
      <c r="E27" s="141"/>
      <c r="F27" s="141"/>
      <c r="G27" s="141"/>
      <c r="H27" s="85"/>
      <c r="J27" s="141">
        <v>150</v>
      </c>
      <c r="K27" s="138">
        <f t="shared" si="4"/>
        <v>150</v>
      </c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37"/>
      <c r="W27" s="137"/>
      <c r="X27" s="137"/>
      <c r="Y27" s="137"/>
      <c r="Z27" s="137"/>
      <c r="AA27" s="137"/>
      <c r="AB27" s="135">
        <f t="shared" si="1"/>
        <v>150</v>
      </c>
      <c r="AC27" s="135">
        <f t="shared" si="2"/>
        <v>150</v>
      </c>
      <c r="AD27" s="136"/>
      <c r="AE27" s="136"/>
      <c r="AF27" s="136"/>
      <c r="AG27" s="67"/>
      <c r="AH27" s="67">
        <v>29133</v>
      </c>
    </row>
    <row r="28" spans="1:34" x14ac:dyDescent="0.25">
      <c r="A28" s="64">
        <v>27</v>
      </c>
      <c r="B28" s="64" t="s">
        <v>215</v>
      </c>
      <c r="C28" s="65" t="s">
        <v>378</v>
      </c>
      <c r="D28" s="139"/>
      <c r="E28" s="139"/>
      <c r="F28" s="139"/>
      <c r="G28" s="139"/>
      <c r="H28" s="139">
        <v>3240.011</v>
      </c>
      <c r="I28" s="139">
        <f>H28</f>
        <v>3240.011</v>
      </c>
      <c r="J28" s="141">
        <v>1000</v>
      </c>
      <c r="K28" s="138">
        <f t="shared" si="4"/>
        <v>1000</v>
      </c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37"/>
      <c r="W28" s="137"/>
      <c r="X28" s="137"/>
      <c r="Y28" s="137"/>
      <c r="Z28" s="137"/>
      <c r="AA28" s="137"/>
      <c r="AB28" s="135">
        <f t="shared" si="1"/>
        <v>4240.0110000000004</v>
      </c>
      <c r="AC28" s="135">
        <f t="shared" si="2"/>
        <v>4240.0110000000004</v>
      </c>
      <c r="AD28" s="136"/>
      <c r="AE28" s="136"/>
      <c r="AF28" s="136"/>
      <c r="AG28" s="67"/>
      <c r="AH28" s="67"/>
    </row>
    <row r="29" spans="1:34" s="325" customFormat="1" x14ac:dyDescent="0.25">
      <c r="A29" s="317">
        <v>28</v>
      </c>
      <c r="B29" s="317" t="s">
        <v>215</v>
      </c>
      <c r="C29" s="326" t="s">
        <v>283</v>
      </c>
      <c r="D29" s="319"/>
      <c r="E29" s="319"/>
      <c r="F29" s="319"/>
      <c r="G29" s="319"/>
      <c r="H29" s="320"/>
      <c r="I29" s="320"/>
      <c r="J29" s="319"/>
      <c r="K29" s="319"/>
      <c r="L29" s="319">
        <v>4000</v>
      </c>
      <c r="M29" s="319">
        <f>L29+100</f>
        <v>4100</v>
      </c>
      <c r="N29" s="319"/>
      <c r="O29" s="319">
        <v>100</v>
      </c>
      <c r="P29" s="319"/>
      <c r="Q29" s="319"/>
      <c r="R29" s="319"/>
      <c r="S29" s="319"/>
      <c r="T29" s="319"/>
      <c r="U29" s="319"/>
      <c r="V29" s="321"/>
      <c r="W29" s="321"/>
      <c r="X29" s="321"/>
      <c r="Y29" s="321"/>
      <c r="Z29" s="321"/>
      <c r="AA29" s="321"/>
      <c r="AB29" s="135">
        <f t="shared" si="1"/>
        <v>4000</v>
      </c>
      <c r="AC29" s="135">
        <f t="shared" si="2"/>
        <v>4200</v>
      </c>
      <c r="AD29" s="323"/>
      <c r="AE29" s="323"/>
      <c r="AF29" s="323"/>
      <c r="AG29" s="324"/>
      <c r="AH29" s="324"/>
    </row>
    <row r="30" spans="1:34" s="325" customFormat="1" x14ac:dyDescent="0.25">
      <c r="A30" s="317">
        <v>29</v>
      </c>
      <c r="B30" s="317" t="s">
        <v>211</v>
      </c>
      <c r="C30" s="326" t="s">
        <v>513</v>
      </c>
      <c r="D30" s="319">
        <v>7318.3360000000002</v>
      </c>
      <c r="E30" s="319">
        <f>D30+14220.2</f>
        <v>21538.536</v>
      </c>
      <c r="F30" s="319">
        <v>713.53399999999999</v>
      </c>
      <c r="G30" s="319">
        <f>F30+1386.424</f>
        <v>2099.9580000000001</v>
      </c>
      <c r="H30" s="320"/>
      <c r="I30" s="320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21"/>
      <c r="W30" s="321"/>
      <c r="X30" s="321"/>
      <c r="Y30" s="321"/>
      <c r="Z30" s="321"/>
      <c r="AA30" s="321"/>
      <c r="AB30" s="135">
        <f t="shared" si="1"/>
        <v>8031.87</v>
      </c>
      <c r="AC30" s="135">
        <f t="shared" si="2"/>
        <v>23638.493999999999</v>
      </c>
      <c r="AD30" s="323"/>
      <c r="AE30" s="323"/>
      <c r="AF30" s="323"/>
      <c r="AG30" s="324"/>
      <c r="AH30" s="324"/>
    </row>
    <row r="31" spans="1:34" s="325" customFormat="1" x14ac:dyDescent="0.25">
      <c r="A31" s="317">
        <v>30</v>
      </c>
      <c r="B31" s="317" t="s">
        <v>211</v>
      </c>
      <c r="C31" s="326" t="s">
        <v>284</v>
      </c>
      <c r="D31" s="319">
        <v>62378.35</v>
      </c>
      <c r="E31" s="319">
        <f>D31+2025+350</f>
        <v>64753.35</v>
      </c>
      <c r="F31" s="319">
        <v>6590.1940000000004</v>
      </c>
      <c r="G31" s="319">
        <f>F31+394.875+68.25</f>
        <v>7053.3190000000004</v>
      </c>
      <c r="H31" s="320">
        <v>20937.272000000001</v>
      </c>
      <c r="I31" s="320">
        <f>H31</f>
        <v>20937.272000000001</v>
      </c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>
        <v>2000</v>
      </c>
      <c r="U31" s="319">
        <f>T31</f>
        <v>2000</v>
      </c>
      <c r="V31" s="321"/>
      <c r="W31" s="321"/>
      <c r="X31" s="321"/>
      <c r="Y31" s="321"/>
      <c r="Z31" s="321"/>
      <c r="AA31" s="321"/>
      <c r="AB31" s="135">
        <f t="shared" si="1"/>
        <v>91905.815999999992</v>
      </c>
      <c r="AC31" s="135">
        <f t="shared" si="2"/>
        <v>94743.940999999992</v>
      </c>
      <c r="AD31" s="323"/>
      <c r="AE31" s="323"/>
      <c r="AF31" s="323"/>
      <c r="AG31" s="324"/>
      <c r="AH31" s="324">
        <v>3</v>
      </c>
    </row>
    <row r="32" spans="1:34" s="325" customFormat="1" x14ac:dyDescent="0.25">
      <c r="A32" s="317">
        <v>31</v>
      </c>
      <c r="B32" s="317" t="s">
        <v>211</v>
      </c>
      <c r="C32" s="326" t="s">
        <v>328</v>
      </c>
      <c r="D32" s="319"/>
      <c r="E32" s="319"/>
      <c r="F32" s="319"/>
      <c r="G32" s="319"/>
      <c r="H32" s="320"/>
      <c r="I32" s="320"/>
      <c r="J32" s="319"/>
      <c r="K32" s="319"/>
      <c r="L32" s="319"/>
      <c r="M32" s="319"/>
      <c r="N32" s="319"/>
      <c r="O32" s="319">
        <f>61.224+108</f>
        <v>169.22399999999999</v>
      </c>
      <c r="P32" s="319"/>
      <c r="Q32" s="319"/>
      <c r="R32" s="319"/>
      <c r="S32" s="319"/>
      <c r="T32" s="319"/>
      <c r="U32" s="319"/>
      <c r="V32" s="321"/>
      <c r="W32" s="321"/>
      <c r="X32" s="321"/>
      <c r="Y32" s="321"/>
      <c r="Z32" s="321">
        <v>10031.323</v>
      </c>
      <c r="AA32" s="321">
        <f>Z32</f>
        <v>10031.323</v>
      </c>
      <c r="AB32" s="135">
        <f t="shared" si="1"/>
        <v>10031.323</v>
      </c>
      <c r="AC32" s="135">
        <f t="shared" si="2"/>
        <v>10200.547</v>
      </c>
      <c r="AD32" s="323"/>
      <c r="AE32" s="323"/>
      <c r="AF32" s="323"/>
      <c r="AG32" s="324"/>
      <c r="AH32" s="324"/>
    </row>
    <row r="33" spans="1:35" s="325" customFormat="1" x14ac:dyDescent="0.25">
      <c r="A33" s="317">
        <v>32</v>
      </c>
      <c r="B33" s="317" t="s">
        <v>211</v>
      </c>
      <c r="C33" s="326" t="s">
        <v>285</v>
      </c>
      <c r="D33" s="319">
        <v>2532.5</v>
      </c>
      <c r="E33" s="319">
        <f>D33</f>
        <v>2532.5</v>
      </c>
      <c r="F33" s="319">
        <v>451.7</v>
      </c>
      <c r="G33" s="319">
        <f>F33</f>
        <v>451.7</v>
      </c>
      <c r="H33" s="320">
        <v>15760</v>
      </c>
      <c r="I33" s="320">
        <f>H33+125.759</f>
        <v>15885.759</v>
      </c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21"/>
      <c r="W33" s="321"/>
      <c r="X33" s="321"/>
      <c r="Y33" s="321"/>
      <c r="Z33" s="321"/>
      <c r="AA33" s="321"/>
      <c r="AB33" s="135">
        <f t="shared" si="1"/>
        <v>18744.2</v>
      </c>
      <c r="AC33" s="135">
        <f t="shared" si="2"/>
        <v>18869.958999999999</v>
      </c>
      <c r="AD33" s="323"/>
      <c r="AE33" s="323"/>
      <c r="AF33" s="323"/>
      <c r="AG33" s="324"/>
      <c r="AH33" s="324">
        <v>24806</v>
      </c>
    </row>
    <row r="34" spans="1:35" x14ac:dyDescent="0.25">
      <c r="A34" s="64">
        <v>33</v>
      </c>
      <c r="B34" s="64" t="s">
        <v>211</v>
      </c>
      <c r="C34" s="65" t="s">
        <v>522</v>
      </c>
      <c r="D34" s="141"/>
      <c r="E34" s="141"/>
      <c r="F34" s="141"/>
      <c r="G34" s="141"/>
      <c r="H34" s="139">
        <v>1151</v>
      </c>
      <c r="I34" s="139">
        <f>H34</f>
        <v>1151</v>
      </c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37"/>
      <c r="W34" s="137"/>
      <c r="X34" s="137"/>
      <c r="Y34" s="137"/>
      <c r="Z34" s="137">
        <v>5320</v>
      </c>
      <c r="AA34" s="137">
        <f>Z34</f>
        <v>5320</v>
      </c>
      <c r="AB34" s="135">
        <f t="shared" si="1"/>
        <v>6471</v>
      </c>
      <c r="AC34" s="135">
        <f t="shared" si="2"/>
        <v>6471</v>
      </c>
      <c r="AD34" s="136"/>
      <c r="AE34" s="136"/>
      <c r="AF34" s="136"/>
      <c r="AG34" s="67"/>
      <c r="AH34" s="67">
        <v>66</v>
      </c>
    </row>
    <row r="35" spans="1:35" x14ac:dyDescent="0.25">
      <c r="A35" s="64">
        <v>34</v>
      </c>
      <c r="B35" s="64" t="s">
        <v>211</v>
      </c>
      <c r="C35" s="65" t="s">
        <v>286</v>
      </c>
      <c r="D35" s="141"/>
      <c r="E35" s="141"/>
      <c r="F35" s="141"/>
      <c r="G35" s="141"/>
      <c r="H35" s="139">
        <v>1680</v>
      </c>
      <c r="I35" s="139">
        <f t="shared" ref="I35:I40" si="5">H35</f>
        <v>1680</v>
      </c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37"/>
      <c r="W35" s="137"/>
      <c r="X35" s="137"/>
      <c r="Y35" s="137"/>
      <c r="Z35" s="137"/>
      <c r="AA35" s="137"/>
      <c r="AB35" s="135">
        <f t="shared" si="1"/>
        <v>1680</v>
      </c>
      <c r="AC35" s="135">
        <f t="shared" si="2"/>
        <v>1680</v>
      </c>
      <c r="AD35" s="136"/>
      <c r="AE35" s="136"/>
      <c r="AF35" s="136"/>
      <c r="AG35" s="67"/>
      <c r="AH35" s="67">
        <v>12020</v>
      </c>
      <c r="AI35" s="68">
        <f>SUM(AI21:AI34)</f>
        <v>0</v>
      </c>
    </row>
    <row r="36" spans="1:35" x14ac:dyDescent="0.25">
      <c r="A36" s="64">
        <v>35</v>
      </c>
      <c r="B36" s="64" t="s">
        <v>211</v>
      </c>
      <c r="C36" s="65" t="s">
        <v>308</v>
      </c>
      <c r="D36" s="141"/>
      <c r="E36" s="141"/>
      <c r="F36" s="141"/>
      <c r="G36" s="141"/>
      <c r="H36" s="139">
        <v>100</v>
      </c>
      <c r="I36" s="139">
        <f t="shared" si="5"/>
        <v>100</v>
      </c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37"/>
      <c r="W36" s="137"/>
      <c r="X36" s="137"/>
      <c r="Y36" s="137"/>
      <c r="Z36" s="137"/>
      <c r="AA36" s="137"/>
      <c r="AB36" s="135">
        <f t="shared" si="1"/>
        <v>100</v>
      </c>
      <c r="AC36" s="135">
        <f t="shared" si="2"/>
        <v>100</v>
      </c>
      <c r="AD36" s="136"/>
      <c r="AE36" s="136"/>
      <c r="AF36" s="136"/>
      <c r="AG36" s="67"/>
      <c r="AH36" s="67">
        <v>13436</v>
      </c>
    </row>
    <row r="37" spans="1:35" x14ac:dyDescent="0.25">
      <c r="A37" s="64">
        <v>36</v>
      </c>
      <c r="B37" s="64" t="s">
        <v>211</v>
      </c>
      <c r="C37" s="65" t="s">
        <v>323</v>
      </c>
      <c r="D37" s="141"/>
      <c r="E37" s="141"/>
      <c r="F37" s="141"/>
      <c r="G37" s="141"/>
      <c r="H37" s="139">
        <v>36</v>
      </c>
      <c r="I37" s="139">
        <f t="shared" si="5"/>
        <v>36</v>
      </c>
      <c r="J37" s="141"/>
      <c r="K37" s="141"/>
      <c r="L37" s="141">
        <v>16100</v>
      </c>
      <c r="M37" s="141">
        <f>L37</f>
        <v>16100</v>
      </c>
      <c r="N37" s="141"/>
      <c r="O37" s="141"/>
      <c r="P37" s="141"/>
      <c r="Q37" s="141"/>
      <c r="R37" s="141"/>
      <c r="S37" s="141"/>
      <c r="T37" s="141"/>
      <c r="U37" s="141"/>
      <c r="V37" s="137"/>
      <c r="W37" s="137"/>
      <c r="X37" s="137"/>
      <c r="Y37" s="137"/>
      <c r="Z37" s="137"/>
      <c r="AA37" s="137"/>
      <c r="AB37" s="135">
        <f t="shared" si="1"/>
        <v>16136</v>
      </c>
      <c r="AC37" s="135">
        <f t="shared" si="2"/>
        <v>16136</v>
      </c>
      <c r="AD37" s="136"/>
      <c r="AE37" s="136"/>
      <c r="AF37" s="136"/>
      <c r="AG37" s="67"/>
      <c r="AH37" s="67">
        <v>42409</v>
      </c>
    </row>
    <row r="38" spans="1:35" x14ac:dyDescent="0.25">
      <c r="A38" s="64">
        <v>37</v>
      </c>
      <c r="B38" s="64" t="s">
        <v>211</v>
      </c>
      <c r="C38" s="65" t="s">
        <v>287</v>
      </c>
      <c r="D38" s="141"/>
      <c r="E38" s="141"/>
      <c r="F38" s="141"/>
      <c r="G38" s="141"/>
      <c r="H38" s="139">
        <v>13488.3</v>
      </c>
      <c r="I38" s="139">
        <f t="shared" si="5"/>
        <v>13488.3</v>
      </c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37"/>
      <c r="W38" s="137"/>
      <c r="X38" s="137"/>
      <c r="Y38" s="137"/>
      <c r="Z38" s="137"/>
      <c r="AA38" s="137"/>
      <c r="AB38" s="135">
        <f t="shared" si="1"/>
        <v>13488.3</v>
      </c>
      <c r="AC38" s="135">
        <f t="shared" si="2"/>
        <v>13488.3</v>
      </c>
      <c r="AD38" s="136"/>
      <c r="AE38" s="136"/>
      <c r="AF38" s="136"/>
      <c r="AG38" s="67"/>
      <c r="AH38" s="67"/>
    </row>
    <row r="39" spans="1:35" x14ac:dyDescent="0.25">
      <c r="A39" s="64">
        <v>38</v>
      </c>
      <c r="B39" s="64" t="s">
        <v>211</v>
      </c>
      <c r="C39" s="65" t="s">
        <v>288</v>
      </c>
      <c r="D39" s="141"/>
      <c r="E39" s="141"/>
      <c r="F39" s="141"/>
      <c r="G39" s="141"/>
      <c r="H39" s="139">
        <v>31071.200000000001</v>
      </c>
      <c r="I39" s="139">
        <f t="shared" si="5"/>
        <v>31071.200000000001</v>
      </c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37"/>
      <c r="W39" s="137"/>
      <c r="X39" s="137"/>
      <c r="Y39" s="137"/>
      <c r="Z39" s="137"/>
      <c r="AA39" s="137"/>
      <c r="AB39" s="135">
        <f t="shared" si="1"/>
        <v>31071.200000000001</v>
      </c>
      <c r="AC39" s="135">
        <f t="shared" si="2"/>
        <v>31071.200000000001</v>
      </c>
      <c r="AD39" s="136"/>
      <c r="AE39" s="136"/>
      <c r="AF39" s="136"/>
      <c r="AG39" s="67"/>
      <c r="AH39" s="67">
        <v>706</v>
      </c>
    </row>
    <row r="40" spans="1:35" x14ac:dyDescent="0.25">
      <c r="A40" s="64">
        <v>39</v>
      </c>
      <c r="B40" s="64" t="s">
        <v>211</v>
      </c>
      <c r="C40" s="65" t="s">
        <v>523</v>
      </c>
      <c r="D40" s="141"/>
      <c r="E40" s="141"/>
      <c r="F40" s="141"/>
      <c r="G40" s="141"/>
      <c r="H40" s="139">
        <v>20</v>
      </c>
      <c r="I40" s="139">
        <f t="shared" si="5"/>
        <v>20</v>
      </c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37"/>
      <c r="W40" s="137"/>
      <c r="X40" s="137"/>
      <c r="Y40" s="137"/>
      <c r="Z40" s="137"/>
      <c r="AA40" s="137"/>
      <c r="AB40" s="135">
        <f t="shared" si="1"/>
        <v>20</v>
      </c>
      <c r="AC40" s="135">
        <f t="shared" si="2"/>
        <v>20</v>
      </c>
      <c r="AD40" s="136"/>
      <c r="AE40" s="136"/>
      <c r="AF40" s="136"/>
      <c r="AG40" s="67"/>
      <c r="AH40" s="67">
        <v>1171</v>
      </c>
    </row>
    <row r="41" spans="1:35" x14ac:dyDescent="0.25">
      <c r="A41" s="64">
        <v>40</v>
      </c>
      <c r="B41" s="64" t="s">
        <v>211</v>
      </c>
      <c r="C41" s="65" t="s">
        <v>379</v>
      </c>
      <c r="D41" s="141"/>
      <c r="E41" s="141"/>
      <c r="F41" s="141"/>
      <c r="G41" s="141"/>
      <c r="H41" s="139"/>
      <c r="I41" s="139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>
        <v>337.5</v>
      </c>
      <c r="U41" s="141">
        <f>T41</f>
        <v>337.5</v>
      </c>
      <c r="V41" s="137"/>
      <c r="W41" s="137"/>
      <c r="X41" s="137"/>
      <c r="Y41" s="137"/>
      <c r="Z41" s="137"/>
      <c r="AA41" s="137"/>
      <c r="AB41" s="135">
        <f t="shared" si="1"/>
        <v>337.5</v>
      </c>
      <c r="AC41" s="135">
        <f t="shared" si="2"/>
        <v>337.5</v>
      </c>
      <c r="AD41" s="136"/>
      <c r="AE41" s="136"/>
      <c r="AF41" s="136"/>
      <c r="AG41" s="67"/>
      <c r="AH41" s="67">
        <v>1551</v>
      </c>
    </row>
    <row r="42" spans="1:35" s="325" customFormat="1" x14ac:dyDescent="0.25">
      <c r="A42" s="317">
        <v>41</v>
      </c>
      <c r="B42" s="317" t="s">
        <v>211</v>
      </c>
      <c r="C42" s="318" t="s">
        <v>326</v>
      </c>
      <c r="D42" s="319"/>
      <c r="E42" s="319"/>
      <c r="F42" s="319"/>
      <c r="G42" s="319"/>
      <c r="H42" s="320">
        <v>1128</v>
      </c>
      <c r="I42" s="320">
        <f>H42-15.1</f>
        <v>1112.9000000000001</v>
      </c>
      <c r="J42" s="319"/>
      <c r="K42" s="319"/>
      <c r="L42" s="319"/>
      <c r="M42" s="319"/>
      <c r="N42" s="319">
        <v>2903</v>
      </c>
      <c r="O42" s="319">
        <f>N42+247.894</f>
        <v>3150.8940000000002</v>
      </c>
      <c r="P42" s="319"/>
      <c r="Q42" s="319"/>
      <c r="R42" s="319"/>
      <c r="S42" s="319"/>
      <c r="T42" s="319"/>
      <c r="U42" s="319"/>
      <c r="V42" s="321"/>
      <c r="W42" s="321"/>
      <c r="X42" s="321"/>
      <c r="Y42" s="321"/>
      <c r="Z42" s="321"/>
      <c r="AA42" s="321"/>
      <c r="AB42" s="135">
        <f t="shared" si="1"/>
        <v>4031</v>
      </c>
      <c r="AC42" s="135">
        <f t="shared" si="2"/>
        <v>4263.7939999999999</v>
      </c>
      <c r="AD42" s="323"/>
      <c r="AE42" s="323"/>
      <c r="AF42" s="323"/>
      <c r="AG42" s="324"/>
      <c r="AH42" s="324">
        <v>4552</v>
      </c>
    </row>
    <row r="43" spans="1:35" x14ac:dyDescent="0.25">
      <c r="A43" s="64">
        <v>42</v>
      </c>
      <c r="B43" s="64" t="s">
        <v>215</v>
      </c>
      <c r="C43" s="65" t="s">
        <v>325</v>
      </c>
      <c r="D43" s="141"/>
      <c r="E43" s="141"/>
      <c r="F43" s="141"/>
      <c r="G43" s="141"/>
      <c r="H43" s="139">
        <v>692</v>
      </c>
      <c r="I43" s="139">
        <f>H43</f>
        <v>692</v>
      </c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37"/>
      <c r="W43" s="137"/>
      <c r="X43" s="137"/>
      <c r="Y43" s="137"/>
      <c r="Z43" s="137"/>
      <c r="AA43" s="137"/>
      <c r="AB43" s="135">
        <f t="shared" si="1"/>
        <v>692</v>
      </c>
      <c r="AC43" s="135">
        <f t="shared" si="2"/>
        <v>692</v>
      </c>
      <c r="AD43" s="136"/>
      <c r="AE43" s="136"/>
      <c r="AF43" s="136"/>
      <c r="AG43" s="67"/>
      <c r="AH43" s="67"/>
    </row>
    <row r="44" spans="1:35" x14ac:dyDescent="0.25">
      <c r="A44" s="64">
        <v>43</v>
      </c>
      <c r="B44" s="64" t="s">
        <v>211</v>
      </c>
      <c r="C44" s="65" t="s">
        <v>324</v>
      </c>
      <c r="D44" s="141"/>
      <c r="E44" s="141"/>
      <c r="F44" s="141"/>
      <c r="G44" s="141"/>
      <c r="H44" s="139">
        <v>410</v>
      </c>
      <c r="I44" s="139">
        <f t="shared" ref="I44:I72" si="6">H44</f>
        <v>410</v>
      </c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37"/>
      <c r="W44" s="137"/>
      <c r="X44" s="137"/>
      <c r="Y44" s="137"/>
      <c r="Z44" s="137"/>
      <c r="AA44" s="137"/>
      <c r="AB44" s="135">
        <f t="shared" si="1"/>
        <v>410</v>
      </c>
      <c r="AC44" s="135">
        <f t="shared" si="2"/>
        <v>410</v>
      </c>
      <c r="AD44" s="136"/>
      <c r="AE44" s="136"/>
      <c r="AF44" s="136"/>
      <c r="AG44" s="67"/>
      <c r="AH44" s="67"/>
    </row>
    <row r="45" spans="1:35" x14ac:dyDescent="0.25">
      <c r="A45" s="64">
        <v>44</v>
      </c>
      <c r="B45" s="64" t="s">
        <v>211</v>
      </c>
      <c r="C45" s="65" t="s">
        <v>309</v>
      </c>
      <c r="D45" s="141"/>
      <c r="E45" s="141"/>
      <c r="F45" s="141"/>
      <c r="G45" s="141"/>
      <c r="H45" s="139">
        <v>358</v>
      </c>
      <c r="I45" s="139">
        <f t="shared" si="6"/>
        <v>358</v>
      </c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37"/>
      <c r="W45" s="137"/>
      <c r="X45" s="137"/>
      <c r="Y45" s="137"/>
      <c r="Z45" s="137"/>
      <c r="AA45" s="137"/>
      <c r="AB45" s="135">
        <f t="shared" si="1"/>
        <v>358</v>
      </c>
      <c r="AC45" s="135">
        <f t="shared" si="2"/>
        <v>358</v>
      </c>
      <c r="AD45" s="136"/>
      <c r="AE45" s="136"/>
      <c r="AF45" s="136"/>
      <c r="AG45" s="67"/>
      <c r="AH45" s="67"/>
    </row>
    <row r="46" spans="1:35" x14ac:dyDescent="0.25">
      <c r="A46" s="64">
        <v>45</v>
      </c>
      <c r="B46" s="64" t="s">
        <v>211</v>
      </c>
      <c r="C46" s="65" t="s">
        <v>380</v>
      </c>
      <c r="D46" s="141"/>
      <c r="E46" s="141"/>
      <c r="F46" s="141"/>
      <c r="G46" s="141"/>
      <c r="H46" s="139">
        <v>635</v>
      </c>
      <c r="I46" s="139">
        <f t="shared" si="6"/>
        <v>635</v>
      </c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37"/>
      <c r="W46" s="137"/>
      <c r="X46" s="137"/>
      <c r="Y46" s="137"/>
      <c r="Z46" s="137"/>
      <c r="AA46" s="137"/>
      <c r="AB46" s="135">
        <f t="shared" si="1"/>
        <v>635</v>
      </c>
      <c r="AC46" s="135">
        <f t="shared" si="2"/>
        <v>635</v>
      </c>
      <c r="AD46" s="136"/>
      <c r="AE46" s="136"/>
      <c r="AF46" s="136"/>
      <c r="AG46" s="67"/>
      <c r="AH46" s="67"/>
    </row>
    <row r="47" spans="1:35" x14ac:dyDescent="0.25">
      <c r="A47" s="64">
        <v>46</v>
      </c>
      <c r="B47" s="64" t="s">
        <v>211</v>
      </c>
      <c r="C47" s="65" t="s">
        <v>381</v>
      </c>
      <c r="D47" s="141"/>
      <c r="E47" s="141"/>
      <c r="F47" s="141"/>
      <c r="G47" s="141"/>
      <c r="H47" s="139"/>
      <c r="I47" s="139"/>
      <c r="J47" s="141"/>
      <c r="K47" s="141"/>
      <c r="L47" s="141">
        <v>8.1</v>
      </c>
      <c r="M47" s="141">
        <f>L47</f>
        <v>8.1</v>
      </c>
      <c r="N47" s="141"/>
      <c r="O47" s="141"/>
      <c r="P47" s="141"/>
      <c r="Q47" s="141"/>
      <c r="R47" s="141"/>
      <c r="S47" s="141"/>
      <c r="T47" s="141"/>
      <c r="U47" s="141"/>
      <c r="V47" s="137"/>
      <c r="W47" s="137"/>
      <c r="X47" s="137"/>
      <c r="Y47" s="137"/>
      <c r="Z47" s="137"/>
      <c r="AA47" s="137"/>
      <c r="AB47" s="135">
        <f t="shared" si="1"/>
        <v>8.1</v>
      </c>
      <c r="AC47" s="135">
        <f t="shared" si="2"/>
        <v>8.1</v>
      </c>
      <c r="AD47" s="136"/>
      <c r="AE47" s="136"/>
      <c r="AF47" s="136"/>
      <c r="AG47" s="67"/>
      <c r="AH47" s="67"/>
    </row>
    <row r="48" spans="1:35" x14ac:dyDescent="0.25">
      <c r="A48" s="64">
        <v>47</v>
      </c>
      <c r="B48" s="64" t="s">
        <v>215</v>
      </c>
      <c r="C48" s="65" t="s">
        <v>524</v>
      </c>
      <c r="D48" s="141"/>
      <c r="E48" s="141"/>
      <c r="F48" s="141"/>
      <c r="G48" s="141"/>
      <c r="H48" s="139">
        <v>5600</v>
      </c>
      <c r="I48" s="139">
        <f t="shared" si="6"/>
        <v>5600</v>
      </c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37"/>
      <c r="W48" s="137"/>
      <c r="X48" s="137"/>
      <c r="Y48" s="137"/>
      <c r="Z48" s="137"/>
      <c r="AA48" s="137"/>
      <c r="AB48" s="135">
        <f t="shared" si="1"/>
        <v>5600</v>
      </c>
      <c r="AC48" s="135">
        <f t="shared" si="2"/>
        <v>5600</v>
      </c>
      <c r="AD48" s="136"/>
      <c r="AE48" s="136"/>
      <c r="AF48" s="136"/>
      <c r="AG48" s="67"/>
      <c r="AH48" s="67"/>
    </row>
    <row r="49" spans="1:34" x14ac:dyDescent="0.25">
      <c r="A49" s="64">
        <v>48</v>
      </c>
      <c r="B49" s="64" t="s">
        <v>211</v>
      </c>
      <c r="C49" s="65" t="s">
        <v>330</v>
      </c>
      <c r="D49" s="141"/>
      <c r="E49" s="141"/>
      <c r="F49" s="141"/>
      <c r="G49" s="141"/>
      <c r="H49" s="139">
        <v>165</v>
      </c>
      <c r="I49" s="139">
        <f t="shared" si="6"/>
        <v>165</v>
      </c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37"/>
      <c r="W49" s="137"/>
      <c r="X49" s="137"/>
      <c r="Y49" s="137"/>
      <c r="Z49" s="137"/>
      <c r="AA49" s="137"/>
      <c r="AB49" s="135">
        <f t="shared" si="1"/>
        <v>165</v>
      </c>
      <c r="AC49" s="135">
        <f t="shared" si="2"/>
        <v>165</v>
      </c>
      <c r="AD49" s="136"/>
      <c r="AE49" s="136"/>
      <c r="AF49" s="136"/>
      <c r="AG49" s="67"/>
      <c r="AH49" s="67"/>
    </row>
    <row r="50" spans="1:34" x14ac:dyDescent="0.25">
      <c r="A50" s="64">
        <v>49</v>
      </c>
      <c r="B50" s="64" t="s">
        <v>215</v>
      </c>
      <c r="C50" s="65" t="s">
        <v>382</v>
      </c>
      <c r="D50" s="141"/>
      <c r="E50" s="141"/>
      <c r="F50" s="141"/>
      <c r="G50" s="141"/>
      <c r="H50" s="139">
        <v>100</v>
      </c>
      <c r="I50" s="139">
        <f t="shared" si="6"/>
        <v>100</v>
      </c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37"/>
      <c r="W50" s="137"/>
      <c r="X50" s="137"/>
      <c r="Y50" s="137"/>
      <c r="Z50" s="137"/>
      <c r="AA50" s="137"/>
      <c r="AB50" s="135">
        <f t="shared" si="1"/>
        <v>100</v>
      </c>
      <c r="AC50" s="135">
        <f t="shared" si="2"/>
        <v>100</v>
      </c>
      <c r="AD50" s="136"/>
      <c r="AE50" s="136"/>
      <c r="AF50" s="136"/>
      <c r="AG50" s="67"/>
      <c r="AH50" s="67"/>
    </row>
    <row r="51" spans="1:34" x14ac:dyDescent="0.25">
      <c r="A51" s="64">
        <v>50</v>
      </c>
      <c r="B51" s="64" t="s">
        <v>215</v>
      </c>
      <c r="C51" s="65" t="s">
        <v>383</v>
      </c>
      <c r="D51" s="141"/>
      <c r="E51" s="141"/>
      <c r="F51" s="141"/>
      <c r="G51" s="141"/>
      <c r="H51" s="139"/>
      <c r="I51" s="139"/>
      <c r="J51" s="141"/>
      <c r="K51" s="141"/>
      <c r="L51" s="141">
        <v>956</v>
      </c>
      <c r="M51" s="141">
        <f>L51</f>
        <v>956</v>
      </c>
      <c r="N51" s="141"/>
      <c r="O51" s="141"/>
      <c r="P51" s="141"/>
      <c r="Q51" s="141"/>
      <c r="R51" s="141"/>
      <c r="S51" s="141"/>
      <c r="T51" s="141"/>
      <c r="U51" s="141"/>
      <c r="V51" s="137"/>
      <c r="W51" s="137"/>
      <c r="X51" s="137"/>
      <c r="Y51" s="137"/>
      <c r="Z51" s="137"/>
      <c r="AA51" s="137"/>
      <c r="AB51" s="135">
        <f t="shared" si="1"/>
        <v>956</v>
      </c>
      <c r="AC51" s="135">
        <f t="shared" si="2"/>
        <v>956</v>
      </c>
      <c r="AD51" s="136"/>
      <c r="AE51" s="136"/>
      <c r="AF51" s="136"/>
      <c r="AG51" s="67"/>
      <c r="AH51" s="67"/>
    </row>
    <row r="52" spans="1:34" x14ac:dyDescent="0.25">
      <c r="A52" s="64">
        <v>51</v>
      </c>
      <c r="B52" s="64" t="s">
        <v>215</v>
      </c>
      <c r="C52" s="65" t="s">
        <v>525</v>
      </c>
      <c r="D52" s="141"/>
      <c r="E52" s="141"/>
      <c r="F52" s="141"/>
      <c r="G52" s="141"/>
      <c r="H52" s="139"/>
      <c r="I52" s="139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37"/>
      <c r="W52" s="137"/>
      <c r="X52" s="137"/>
      <c r="Y52" s="137"/>
      <c r="Z52" s="137"/>
      <c r="AA52" s="137"/>
      <c r="AB52" s="135">
        <f t="shared" si="1"/>
        <v>0</v>
      </c>
      <c r="AC52" s="135">
        <f t="shared" si="2"/>
        <v>0</v>
      </c>
      <c r="AD52" s="136"/>
      <c r="AE52" s="136"/>
      <c r="AF52" s="136"/>
      <c r="AG52" s="67"/>
      <c r="AH52" s="67"/>
    </row>
    <row r="53" spans="1:34" x14ac:dyDescent="0.25">
      <c r="A53" s="64">
        <v>52</v>
      </c>
      <c r="B53" s="64" t="s">
        <v>211</v>
      </c>
      <c r="C53" s="65" t="s">
        <v>526</v>
      </c>
      <c r="D53" s="141"/>
      <c r="E53" s="141"/>
      <c r="F53" s="141"/>
      <c r="G53" s="141"/>
      <c r="H53" s="139"/>
      <c r="I53" s="139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>
        <v>600</v>
      </c>
      <c r="U53" s="141">
        <f>T53</f>
        <v>600</v>
      </c>
      <c r="V53" s="137"/>
      <c r="W53" s="137"/>
      <c r="X53" s="137"/>
      <c r="Y53" s="137"/>
      <c r="Z53" s="137"/>
      <c r="AA53" s="137"/>
      <c r="AB53" s="135">
        <f t="shared" si="1"/>
        <v>600</v>
      </c>
      <c r="AC53" s="135">
        <f t="shared" si="2"/>
        <v>600</v>
      </c>
      <c r="AD53" s="136"/>
      <c r="AE53" s="136"/>
      <c r="AF53" s="136"/>
      <c r="AG53" s="67"/>
      <c r="AH53" s="67"/>
    </row>
    <row r="54" spans="1:34" x14ac:dyDescent="0.25">
      <c r="A54" s="64">
        <v>53</v>
      </c>
      <c r="B54" s="64" t="s">
        <v>215</v>
      </c>
      <c r="C54" s="65" t="s">
        <v>450</v>
      </c>
      <c r="D54" s="141"/>
      <c r="E54" s="141"/>
      <c r="F54" s="141"/>
      <c r="G54" s="141"/>
      <c r="H54" s="139">
        <v>460.35</v>
      </c>
      <c r="I54" s="139">
        <f t="shared" si="6"/>
        <v>460.35</v>
      </c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>
        <v>15345</v>
      </c>
      <c r="U54" s="141">
        <f t="shared" ref="U54:U58" si="7">T54</f>
        <v>15345</v>
      </c>
      <c r="V54" s="137"/>
      <c r="W54" s="137"/>
      <c r="X54" s="137"/>
      <c r="Y54" s="137"/>
      <c r="Z54" s="137"/>
      <c r="AA54" s="137"/>
      <c r="AB54" s="135">
        <f t="shared" si="1"/>
        <v>15805.35</v>
      </c>
      <c r="AC54" s="135">
        <f t="shared" si="2"/>
        <v>15805.35</v>
      </c>
      <c r="AD54" s="136"/>
      <c r="AE54" s="136"/>
      <c r="AF54" s="136"/>
      <c r="AG54" s="67"/>
      <c r="AH54" s="67"/>
    </row>
    <row r="55" spans="1:34" x14ac:dyDescent="0.25">
      <c r="A55" s="64">
        <v>54</v>
      </c>
      <c r="B55" s="64" t="s">
        <v>215</v>
      </c>
      <c r="C55" s="65" t="s">
        <v>371</v>
      </c>
      <c r="D55" s="141"/>
      <c r="E55" s="141"/>
      <c r="F55" s="141"/>
      <c r="G55" s="141"/>
      <c r="H55" s="139">
        <v>929.65</v>
      </c>
      <c r="I55" s="139">
        <f t="shared" si="6"/>
        <v>929.65</v>
      </c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>
        <v>76618.778900000005</v>
      </c>
      <c r="U55" s="141">
        <f t="shared" si="7"/>
        <v>76618.778900000005</v>
      </c>
      <c r="V55" s="137">
        <v>23859</v>
      </c>
      <c r="W55" s="137">
        <f>V55</f>
        <v>23859</v>
      </c>
      <c r="X55" s="137"/>
      <c r="Y55" s="137"/>
      <c r="Z55" s="137"/>
      <c r="AA55" s="137"/>
      <c r="AB55" s="135">
        <f t="shared" si="1"/>
        <v>101407.4289</v>
      </c>
      <c r="AC55" s="135">
        <f t="shared" si="2"/>
        <v>101407.4289</v>
      </c>
      <c r="AD55" s="136"/>
      <c r="AE55" s="136"/>
      <c r="AF55" s="136"/>
      <c r="AG55" s="67"/>
      <c r="AH55" s="67"/>
    </row>
    <row r="56" spans="1:34" x14ac:dyDescent="0.25">
      <c r="A56" s="64">
        <v>55</v>
      </c>
      <c r="B56" s="64" t="s">
        <v>215</v>
      </c>
      <c r="C56" s="65" t="s">
        <v>372</v>
      </c>
      <c r="D56" s="141"/>
      <c r="E56" s="141"/>
      <c r="F56" s="141"/>
      <c r="G56" s="141"/>
      <c r="H56" s="139">
        <v>450</v>
      </c>
      <c r="I56" s="139">
        <f t="shared" si="6"/>
        <v>450</v>
      </c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>
        <v>39747</v>
      </c>
      <c r="U56" s="141">
        <f t="shared" si="7"/>
        <v>39747</v>
      </c>
      <c r="V56" s="137"/>
      <c r="W56" s="137"/>
      <c r="X56" s="137"/>
      <c r="Y56" s="137"/>
      <c r="Z56" s="137"/>
      <c r="AA56" s="137"/>
      <c r="AB56" s="135">
        <f t="shared" si="1"/>
        <v>40197</v>
      </c>
      <c r="AC56" s="135">
        <f t="shared" si="2"/>
        <v>40197</v>
      </c>
      <c r="AD56" s="136"/>
      <c r="AE56" s="136"/>
      <c r="AF56" s="136"/>
      <c r="AG56" s="67"/>
      <c r="AH56" s="67"/>
    </row>
    <row r="57" spans="1:34" x14ac:dyDescent="0.25">
      <c r="A57" s="64">
        <v>56</v>
      </c>
      <c r="B57" s="64" t="s">
        <v>215</v>
      </c>
      <c r="C57" s="65" t="s">
        <v>498</v>
      </c>
      <c r="D57" s="141">
        <v>10640</v>
      </c>
      <c r="E57" s="141">
        <f>D57</f>
        <v>10640</v>
      </c>
      <c r="F57" s="141">
        <v>2801.4</v>
      </c>
      <c r="G57" s="141">
        <f>F57</f>
        <v>2801.4</v>
      </c>
      <c r="H57" s="139">
        <v>1726.6010000000001</v>
      </c>
      <c r="I57" s="139">
        <f t="shared" si="6"/>
        <v>1726.6010000000001</v>
      </c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37"/>
      <c r="W57" s="137"/>
      <c r="X57" s="137"/>
      <c r="Y57" s="137"/>
      <c r="Z57" s="137"/>
      <c r="AA57" s="137"/>
      <c r="AB57" s="135">
        <f t="shared" si="1"/>
        <v>15168.001</v>
      </c>
      <c r="AC57" s="135">
        <f t="shared" si="2"/>
        <v>15168.001</v>
      </c>
      <c r="AD57" s="136"/>
      <c r="AE57" s="136"/>
      <c r="AF57" s="136"/>
      <c r="AG57" s="67"/>
      <c r="AH57" s="67"/>
    </row>
    <row r="58" spans="1:34" x14ac:dyDescent="0.25">
      <c r="A58" s="64">
        <v>57</v>
      </c>
      <c r="B58" s="64" t="s">
        <v>215</v>
      </c>
      <c r="C58" s="65" t="s">
        <v>499</v>
      </c>
      <c r="D58" s="141">
        <v>9069.4</v>
      </c>
      <c r="E58" s="141">
        <f t="shared" ref="E58:E60" si="8">D58</f>
        <v>9069.4</v>
      </c>
      <c r="F58" s="141">
        <v>1715.8</v>
      </c>
      <c r="G58" s="141">
        <f t="shared" ref="G58:G60" si="9">F58</f>
        <v>1715.8</v>
      </c>
      <c r="H58" s="139">
        <v>1258.472</v>
      </c>
      <c r="I58" s="139">
        <f t="shared" si="6"/>
        <v>1258.472</v>
      </c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>
        <v>1270</v>
      </c>
      <c r="U58" s="141">
        <f t="shared" si="7"/>
        <v>1270</v>
      </c>
      <c r="V58" s="137"/>
      <c r="W58" s="137"/>
      <c r="X58" s="137">
        <v>723.80700000000002</v>
      </c>
      <c r="Y58" s="137">
        <f>X58</f>
        <v>723.80700000000002</v>
      </c>
      <c r="Z58" s="137"/>
      <c r="AA58" s="137"/>
      <c r="AB58" s="135">
        <f t="shared" si="1"/>
        <v>14037.478999999999</v>
      </c>
      <c r="AC58" s="135">
        <f t="shared" si="2"/>
        <v>14037.478999999999</v>
      </c>
      <c r="AD58" s="136"/>
      <c r="AE58" s="136"/>
      <c r="AF58" s="136"/>
      <c r="AG58" s="67"/>
      <c r="AH58" s="67"/>
    </row>
    <row r="59" spans="1:34" x14ac:dyDescent="0.25">
      <c r="A59" s="64">
        <v>58</v>
      </c>
      <c r="B59" s="64" t="s">
        <v>215</v>
      </c>
      <c r="C59" s="65" t="s">
        <v>500</v>
      </c>
      <c r="D59" s="141">
        <v>230</v>
      </c>
      <c r="E59" s="141">
        <f t="shared" si="8"/>
        <v>230</v>
      </c>
      <c r="F59" s="141">
        <v>45</v>
      </c>
      <c r="G59" s="141">
        <f t="shared" si="9"/>
        <v>45</v>
      </c>
      <c r="H59" s="139">
        <v>2396.8440000000001</v>
      </c>
      <c r="I59" s="139">
        <f t="shared" si="6"/>
        <v>2396.8440000000001</v>
      </c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37"/>
      <c r="W59" s="137"/>
      <c r="X59" s="137">
        <v>824.76499999999999</v>
      </c>
      <c r="Y59" s="137">
        <f t="shared" ref="Y59:Y60" si="10">X59</f>
        <v>824.76499999999999</v>
      </c>
      <c r="Z59" s="137"/>
      <c r="AA59" s="137"/>
      <c r="AB59" s="135">
        <f t="shared" si="1"/>
        <v>3496.6089999999999</v>
      </c>
      <c r="AC59" s="135">
        <f t="shared" si="2"/>
        <v>3496.6089999999999</v>
      </c>
      <c r="AD59" s="136"/>
      <c r="AE59" s="136"/>
      <c r="AF59" s="136"/>
      <c r="AG59" s="67"/>
      <c r="AH59" s="67"/>
    </row>
    <row r="60" spans="1:34" x14ac:dyDescent="0.25">
      <c r="A60" s="64">
        <v>59</v>
      </c>
      <c r="B60" s="64" t="s">
        <v>215</v>
      </c>
      <c r="C60" s="65" t="s">
        <v>332</v>
      </c>
      <c r="D60" s="141">
        <v>4253.5439999999999</v>
      </c>
      <c r="E60" s="141">
        <f t="shared" si="8"/>
        <v>4253.5439999999999</v>
      </c>
      <c r="F60" s="141">
        <v>1224.72</v>
      </c>
      <c r="G60" s="141">
        <f t="shared" si="9"/>
        <v>1224.72</v>
      </c>
      <c r="H60" s="139">
        <v>12350.796</v>
      </c>
      <c r="I60" s="139">
        <f t="shared" si="6"/>
        <v>12350.796</v>
      </c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37"/>
      <c r="W60" s="137"/>
      <c r="X60" s="137">
        <v>7493.7929999999997</v>
      </c>
      <c r="Y60" s="137">
        <f t="shared" si="10"/>
        <v>7493.7929999999997</v>
      </c>
      <c r="Z60" s="137"/>
      <c r="AA60" s="137"/>
      <c r="AB60" s="135">
        <f t="shared" si="1"/>
        <v>25322.853000000003</v>
      </c>
      <c r="AC60" s="135">
        <f t="shared" si="2"/>
        <v>25322.853000000003</v>
      </c>
      <c r="AD60" s="136"/>
      <c r="AE60" s="136"/>
      <c r="AF60" s="136"/>
      <c r="AG60" s="67"/>
      <c r="AH60" s="67"/>
    </row>
    <row r="61" spans="1:34" x14ac:dyDescent="0.25">
      <c r="A61" s="64">
        <v>60</v>
      </c>
      <c r="B61" s="64" t="s">
        <v>215</v>
      </c>
      <c r="C61" s="65" t="s">
        <v>333</v>
      </c>
      <c r="D61" s="141"/>
      <c r="E61" s="141"/>
      <c r="F61" s="141"/>
      <c r="G61" s="141"/>
      <c r="H61" s="139">
        <v>17438.231</v>
      </c>
      <c r="I61" s="139">
        <f t="shared" si="6"/>
        <v>17438.231</v>
      </c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>
        <v>186265.1</v>
      </c>
      <c r="U61" s="141">
        <f>T61</f>
        <v>186265.1</v>
      </c>
      <c r="V61" s="137"/>
      <c r="W61" s="137"/>
      <c r="X61" s="137"/>
      <c r="Y61" s="137"/>
      <c r="Z61" s="137"/>
      <c r="AA61" s="137"/>
      <c r="AB61" s="135">
        <f t="shared" si="1"/>
        <v>203703.33100000001</v>
      </c>
      <c r="AC61" s="135">
        <f t="shared" si="2"/>
        <v>203703.33100000001</v>
      </c>
      <c r="AD61" s="136"/>
      <c r="AE61" s="136"/>
      <c r="AF61" s="136"/>
      <c r="AG61" s="67"/>
      <c r="AH61" s="67"/>
    </row>
    <row r="62" spans="1:34" s="325" customFormat="1" x14ac:dyDescent="0.25">
      <c r="A62" s="317">
        <v>61</v>
      </c>
      <c r="B62" s="317" t="s">
        <v>215</v>
      </c>
      <c r="C62" s="326" t="s">
        <v>334</v>
      </c>
      <c r="D62" s="319"/>
      <c r="E62" s="319"/>
      <c r="F62" s="319"/>
      <c r="G62" s="319"/>
      <c r="H62" s="320"/>
      <c r="I62" s="139"/>
      <c r="J62" s="319"/>
      <c r="K62" s="319"/>
      <c r="L62" s="319"/>
      <c r="M62" s="319"/>
      <c r="N62" s="319"/>
      <c r="O62" s="319"/>
      <c r="P62" s="319"/>
      <c r="Q62" s="319"/>
      <c r="R62" s="319"/>
      <c r="S62" s="319"/>
      <c r="T62" s="319">
        <v>35359.459000000003</v>
      </c>
      <c r="U62" s="319">
        <f>T62+11370.421</f>
        <v>46729.880000000005</v>
      </c>
      <c r="V62" s="321"/>
      <c r="W62" s="321"/>
      <c r="X62" s="321"/>
      <c r="Y62" s="321"/>
      <c r="Z62" s="321"/>
      <c r="AA62" s="321"/>
      <c r="AB62" s="135">
        <f t="shared" si="1"/>
        <v>35359.459000000003</v>
      </c>
      <c r="AC62" s="135">
        <f t="shared" si="2"/>
        <v>46729.880000000005</v>
      </c>
      <c r="AD62" s="323"/>
      <c r="AE62" s="323"/>
      <c r="AF62" s="323"/>
      <c r="AG62" s="324"/>
      <c r="AH62" s="324"/>
    </row>
    <row r="63" spans="1:34" x14ac:dyDescent="0.25">
      <c r="A63" s="64">
        <v>62</v>
      </c>
      <c r="B63" s="45" t="s">
        <v>215</v>
      </c>
      <c r="C63" s="65" t="s">
        <v>501</v>
      </c>
      <c r="D63" s="141"/>
      <c r="E63" s="141"/>
      <c r="F63" s="141"/>
      <c r="G63" s="141"/>
      <c r="H63" s="139">
        <v>11855.38</v>
      </c>
      <c r="I63" s="139">
        <f t="shared" si="6"/>
        <v>11855.38</v>
      </c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>
        <v>158900.43799999999</v>
      </c>
      <c r="U63" s="141">
        <f>T63</f>
        <v>158900.43799999999</v>
      </c>
      <c r="V63" s="137"/>
      <c r="W63" s="137"/>
      <c r="X63" s="137"/>
      <c r="Y63" s="137"/>
      <c r="Z63" s="137"/>
      <c r="AA63" s="137"/>
      <c r="AB63" s="135">
        <f t="shared" si="1"/>
        <v>170755.818</v>
      </c>
      <c r="AC63" s="135">
        <f t="shared" si="2"/>
        <v>170755.818</v>
      </c>
      <c r="AD63" s="136"/>
      <c r="AE63" s="136"/>
      <c r="AF63" s="136"/>
      <c r="AG63" s="67"/>
      <c r="AH63" s="67"/>
    </row>
    <row r="64" spans="1:34" s="325" customFormat="1" x14ac:dyDescent="0.25">
      <c r="A64" s="317">
        <v>63</v>
      </c>
      <c r="B64" s="328" t="s">
        <v>215</v>
      </c>
      <c r="C64" s="326" t="s">
        <v>336</v>
      </c>
      <c r="D64" s="319"/>
      <c r="E64" s="319"/>
      <c r="F64" s="319"/>
      <c r="G64" s="319"/>
      <c r="H64" s="320">
        <v>223</v>
      </c>
      <c r="I64" s="139">
        <f t="shared" si="6"/>
        <v>223</v>
      </c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319">
        <v>42570.487999999998</v>
      </c>
      <c r="U64" s="319">
        <f>T64-42570.488</f>
        <v>0</v>
      </c>
      <c r="V64" s="321"/>
      <c r="W64" s="321">
        <f>42570.488+10629.921</f>
        <v>53200.409</v>
      </c>
      <c r="X64" s="321"/>
      <c r="Y64" s="321"/>
      <c r="Z64" s="321"/>
      <c r="AA64" s="321"/>
      <c r="AB64" s="135">
        <f t="shared" si="1"/>
        <v>42793.487999999998</v>
      </c>
      <c r="AC64" s="135">
        <f t="shared" si="2"/>
        <v>53423.409</v>
      </c>
      <c r="AD64" s="323"/>
      <c r="AE64" s="323"/>
      <c r="AF64" s="323"/>
      <c r="AG64" s="324"/>
      <c r="AH64" s="324"/>
    </row>
    <row r="65" spans="1:34" x14ac:dyDescent="0.25">
      <c r="A65" s="64">
        <v>64</v>
      </c>
      <c r="B65" s="45" t="s">
        <v>215</v>
      </c>
      <c r="C65" s="65" t="s">
        <v>503</v>
      </c>
      <c r="D65" s="141"/>
      <c r="E65" s="141"/>
      <c r="F65" s="141"/>
      <c r="G65" s="141"/>
      <c r="H65" s="139"/>
      <c r="I65" s="139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>
        <v>352.7</v>
      </c>
      <c r="U65" s="141">
        <f>T65</f>
        <v>352.7</v>
      </c>
      <c r="V65" s="137"/>
      <c r="W65" s="137"/>
      <c r="X65" s="137"/>
      <c r="Y65" s="137"/>
      <c r="Z65" s="137"/>
      <c r="AA65" s="137"/>
      <c r="AB65" s="135">
        <f t="shared" si="1"/>
        <v>352.7</v>
      </c>
      <c r="AC65" s="135">
        <f t="shared" si="2"/>
        <v>352.7</v>
      </c>
      <c r="AD65" s="136"/>
      <c r="AE65" s="136"/>
      <c r="AF65" s="136"/>
      <c r="AG65" s="67"/>
      <c r="AH65" s="67"/>
    </row>
    <row r="66" spans="1:34" x14ac:dyDescent="0.25">
      <c r="A66" s="64">
        <v>65</v>
      </c>
      <c r="B66" s="45" t="s">
        <v>215</v>
      </c>
      <c r="C66" s="65" t="s">
        <v>455</v>
      </c>
      <c r="D66" s="141"/>
      <c r="E66" s="141"/>
      <c r="F66" s="141"/>
      <c r="G66" s="141"/>
      <c r="H66" s="139"/>
      <c r="I66" s="139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>
        <v>803</v>
      </c>
      <c r="U66" s="141">
        <f t="shared" ref="U66:U69" si="11">T66</f>
        <v>803</v>
      </c>
      <c r="V66" s="137"/>
      <c r="W66" s="137"/>
      <c r="X66" s="137"/>
      <c r="Y66" s="137"/>
      <c r="Z66" s="137"/>
      <c r="AA66" s="137"/>
      <c r="AB66" s="135">
        <f t="shared" si="1"/>
        <v>803</v>
      </c>
      <c r="AC66" s="135">
        <f t="shared" si="2"/>
        <v>803</v>
      </c>
      <c r="AD66" s="136"/>
      <c r="AE66" s="136"/>
      <c r="AF66" s="136"/>
      <c r="AG66" s="67"/>
      <c r="AH66" s="67"/>
    </row>
    <row r="67" spans="1:34" x14ac:dyDescent="0.25">
      <c r="A67" s="64">
        <v>66</v>
      </c>
      <c r="B67" s="45" t="s">
        <v>215</v>
      </c>
      <c r="C67" s="65" t="s">
        <v>504</v>
      </c>
      <c r="D67" s="141"/>
      <c r="E67" s="141"/>
      <c r="F67" s="141"/>
      <c r="G67" s="141"/>
      <c r="H67" s="139"/>
      <c r="I67" s="139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>
        <v>2205.9879999999998</v>
      </c>
      <c r="U67" s="141">
        <f t="shared" si="11"/>
        <v>2205.9879999999998</v>
      </c>
      <c r="V67" s="137"/>
      <c r="W67" s="137"/>
      <c r="X67" s="137"/>
      <c r="Y67" s="137"/>
      <c r="Z67" s="137"/>
      <c r="AA67" s="137"/>
      <c r="AB67" s="135">
        <f t="shared" si="1"/>
        <v>2205.9879999999998</v>
      </c>
      <c r="AC67" s="135">
        <f t="shared" si="2"/>
        <v>2205.9879999999998</v>
      </c>
      <c r="AD67" s="136"/>
      <c r="AE67" s="136"/>
      <c r="AF67" s="136"/>
      <c r="AG67" s="67"/>
      <c r="AH67" s="67"/>
    </row>
    <row r="68" spans="1:34" x14ac:dyDescent="0.25">
      <c r="A68" s="64">
        <v>67</v>
      </c>
      <c r="B68" s="45" t="s">
        <v>215</v>
      </c>
      <c r="C68" s="65" t="s">
        <v>505</v>
      </c>
      <c r="D68" s="141"/>
      <c r="E68" s="141"/>
      <c r="F68" s="141"/>
      <c r="G68" s="141"/>
      <c r="H68" s="139"/>
      <c r="I68" s="139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>
        <v>2362.4</v>
      </c>
      <c r="U68" s="141">
        <f t="shared" si="11"/>
        <v>2362.4</v>
      </c>
      <c r="V68" s="137"/>
      <c r="W68" s="137"/>
      <c r="X68" s="137"/>
      <c r="Y68" s="137"/>
      <c r="Z68" s="137"/>
      <c r="AA68" s="137"/>
      <c r="AB68" s="135">
        <f t="shared" si="1"/>
        <v>2362.4</v>
      </c>
      <c r="AC68" s="135">
        <f t="shared" si="2"/>
        <v>2362.4</v>
      </c>
      <c r="AD68" s="136"/>
      <c r="AE68" s="136"/>
      <c r="AF68" s="136"/>
      <c r="AG68" s="67"/>
      <c r="AH68" s="67"/>
    </row>
    <row r="69" spans="1:34" x14ac:dyDescent="0.25">
      <c r="A69" s="64">
        <v>68</v>
      </c>
      <c r="B69" s="45" t="s">
        <v>215</v>
      </c>
      <c r="C69" s="65" t="s">
        <v>506</v>
      </c>
      <c r="D69" s="141"/>
      <c r="E69" s="141"/>
      <c r="F69" s="141"/>
      <c r="G69" s="141"/>
      <c r="H69" s="139"/>
      <c r="I69" s="139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>
        <v>1954.53</v>
      </c>
      <c r="U69" s="141">
        <f t="shared" si="11"/>
        <v>1954.53</v>
      </c>
      <c r="V69" s="137"/>
      <c r="W69" s="137"/>
      <c r="X69" s="137"/>
      <c r="Y69" s="137"/>
      <c r="Z69" s="137"/>
      <c r="AA69" s="137"/>
      <c r="AB69" s="135">
        <f t="shared" si="1"/>
        <v>1954.53</v>
      </c>
      <c r="AC69" s="135">
        <f t="shared" si="2"/>
        <v>1954.53</v>
      </c>
      <c r="AD69" s="136"/>
      <c r="AE69" s="136"/>
      <c r="AF69" s="136"/>
      <c r="AG69" s="67"/>
      <c r="AH69" s="67"/>
    </row>
    <row r="70" spans="1:34" x14ac:dyDescent="0.25">
      <c r="A70" s="64">
        <v>69</v>
      </c>
      <c r="B70" s="45" t="s">
        <v>215</v>
      </c>
      <c r="C70" s="65" t="s">
        <v>507</v>
      </c>
      <c r="D70" s="141"/>
      <c r="E70" s="141"/>
      <c r="F70" s="141"/>
      <c r="G70" s="141"/>
      <c r="H70" s="139">
        <v>1592</v>
      </c>
      <c r="I70" s="139">
        <f t="shared" si="6"/>
        <v>1592</v>
      </c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37"/>
      <c r="W70" s="137"/>
      <c r="X70" s="137"/>
      <c r="Y70" s="137"/>
      <c r="Z70" s="137"/>
      <c r="AA70" s="137"/>
      <c r="AB70" s="135">
        <f t="shared" ref="AB70:AB74" si="12">D70+F70+H70+J70+L70+N70+P70+R70+T70+V70+X70+Z70</f>
        <v>1592</v>
      </c>
      <c r="AC70" s="135">
        <f t="shared" ref="AC70:AC74" si="13">E70+G70+I70+K70+M70+O70+Q70+S70+U70+W70+Y70+AA70</f>
        <v>1592</v>
      </c>
      <c r="AD70" s="136"/>
      <c r="AE70" s="136"/>
      <c r="AF70" s="136"/>
      <c r="AG70" s="67"/>
      <c r="AH70" s="67"/>
    </row>
    <row r="71" spans="1:34" x14ac:dyDescent="0.25">
      <c r="A71" s="64">
        <v>70</v>
      </c>
      <c r="B71" s="45" t="s">
        <v>215</v>
      </c>
      <c r="C71" s="65" t="s">
        <v>508</v>
      </c>
      <c r="D71" s="141"/>
      <c r="E71" s="141"/>
      <c r="F71" s="141"/>
      <c r="G71" s="141"/>
      <c r="H71" s="139"/>
      <c r="I71" s="139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37">
        <v>2882.1</v>
      </c>
      <c r="W71" s="137">
        <f>V71</f>
        <v>2882.1</v>
      </c>
      <c r="X71" s="137"/>
      <c r="Y71" s="137"/>
      <c r="Z71" s="137"/>
      <c r="AA71" s="137"/>
      <c r="AB71" s="135">
        <f t="shared" si="12"/>
        <v>2882.1</v>
      </c>
      <c r="AC71" s="135">
        <f t="shared" si="13"/>
        <v>2882.1</v>
      </c>
      <c r="AD71" s="136"/>
      <c r="AE71" s="136"/>
      <c r="AF71" s="136"/>
      <c r="AG71" s="67"/>
      <c r="AH71" s="67"/>
    </row>
    <row r="72" spans="1:34" x14ac:dyDescent="0.25">
      <c r="A72" s="64">
        <v>71</v>
      </c>
      <c r="B72" s="45" t="s">
        <v>215</v>
      </c>
      <c r="C72" s="65" t="s">
        <v>509</v>
      </c>
      <c r="D72" s="141"/>
      <c r="E72" s="141"/>
      <c r="F72" s="141"/>
      <c r="G72" s="141"/>
      <c r="H72" s="139">
        <v>5475.56</v>
      </c>
      <c r="I72" s="139">
        <f t="shared" si="6"/>
        <v>5475.56</v>
      </c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>
        <v>5000</v>
      </c>
      <c r="U72" s="141">
        <v>5000</v>
      </c>
      <c r="V72" s="137"/>
      <c r="W72" s="137"/>
      <c r="X72" s="137"/>
      <c r="Y72" s="137"/>
      <c r="Z72" s="137"/>
      <c r="AA72" s="137"/>
      <c r="AB72" s="135">
        <f t="shared" si="12"/>
        <v>10475.560000000001</v>
      </c>
      <c r="AC72" s="135">
        <f t="shared" si="13"/>
        <v>10475.560000000001</v>
      </c>
      <c r="AD72" s="136"/>
      <c r="AE72" s="136"/>
      <c r="AF72" s="136"/>
      <c r="AG72" s="67"/>
      <c r="AH72" s="67"/>
    </row>
    <row r="73" spans="1:34" s="325" customFormat="1" x14ac:dyDescent="0.25">
      <c r="A73" s="317">
        <v>72</v>
      </c>
      <c r="B73" s="328" t="s">
        <v>215</v>
      </c>
      <c r="C73" s="326" t="s">
        <v>527</v>
      </c>
      <c r="D73" s="319"/>
      <c r="E73" s="319"/>
      <c r="F73" s="319"/>
      <c r="G73" s="319"/>
      <c r="H73" s="320"/>
      <c r="I73" s="320"/>
      <c r="J73" s="319"/>
      <c r="K73" s="319"/>
      <c r="L73" s="319"/>
      <c r="M73" s="319"/>
      <c r="N73" s="319"/>
      <c r="O73" s="319"/>
      <c r="P73" s="319"/>
      <c r="Q73" s="319"/>
      <c r="R73" s="319"/>
      <c r="S73" s="319"/>
      <c r="T73" s="319"/>
      <c r="U73" s="319">
        <v>2362.4</v>
      </c>
      <c r="V73" s="321"/>
      <c r="W73" s="321"/>
      <c r="X73" s="321"/>
      <c r="Y73" s="321"/>
      <c r="Z73" s="321"/>
      <c r="AA73" s="321"/>
      <c r="AB73" s="135">
        <f t="shared" si="12"/>
        <v>0</v>
      </c>
      <c r="AC73" s="135">
        <f t="shared" si="13"/>
        <v>2362.4</v>
      </c>
      <c r="AD73" s="323"/>
      <c r="AE73" s="323"/>
      <c r="AF73" s="323"/>
      <c r="AG73" s="324"/>
      <c r="AH73" s="324"/>
    </row>
    <row r="74" spans="1:34" x14ac:dyDescent="0.25">
      <c r="A74" s="64">
        <v>73</v>
      </c>
      <c r="B74" s="64" t="s">
        <v>215</v>
      </c>
      <c r="C74" s="65" t="s">
        <v>502</v>
      </c>
      <c r="D74" s="141">
        <v>120</v>
      </c>
      <c r="E74" s="141">
        <f>D74</f>
        <v>120</v>
      </c>
      <c r="F74" s="141">
        <v>23.4</v>
      </c>
      <c r="G74" s="141">
        <f>F74</f>
        <v>23.4</v>
      </c>
      <c r="H74" s="139"/>
      <c r="I74" s="139"/>
      <c r="J74" s="141"/>
      <c r="K74" s="141"/>
      <c r="L74" s="141"/>
      <c r="M74" s="141"/>
      <c r="N74" s="141">
        <v>19381.203000000001</v>
      </c>
      <c r="O74" s="141">
        <f>N74</f>
        <v>19381.203000000001</v>
      </c>
      <c r="P74" s="141"/>
      <c r="Q74" s="141"/>
      <c r="R74" s="141"/>
      <c r="S74" s="141"/>
      <c r="T74" s="141"/>
      <c r="U74" s="141"/>
      <c r="V74" s="137"/>
      <c r="W74" s="137"/>
      <c r="X74" s="137"/>
      <c r="Y74" s="137"/>
      <c r="Z74" s="137"/>
      <c r="AA74" s="137"/>
      <c r="AB74" s="135">
        <f t="shared" si="12"/>
        <v>19524.603000000003</v>
      </c>
      <c r="AC74" s="135">
        <f t="shared" si="13"/>
        <v>19524.603000000003</v>
      </c>
      <c r="AD74" s="136"/>
      <c r="AE74" s="136"/>
      <c r="AF74" s="136"/>
      <c r="AG74" s="67"/>
      <c r="AH74" s="67"/>
    </row>
    <row r="75" spans="1:34" ht="15.75" x14ac:dyDescent="0.25">
      <c r="A75" s="64">
        <v>74</v>
      </c>
      <c r="B75" s="64"/>
      <c r="C75" s="81" t="s">
        <v>252</v>
      </c>
      <c r="D75" s="349">
        <f t="shared" ref="D75:AD75" si="14">SUM(D5:D74)</f>
        <v>112786.62999999999</v>
      </c>
      <c r="E75" s="349">
        <f t="shared" si="14"/>
        <v>129381.82999999999</v>
      </c>
      <c r="F75" s="349">
        <f t="shared" si="14"/>
        <v>16680.748000000003</v>
      </c>
      <c r="G75" s="349">
        <f t="shared" si="14"/>
        <v>18530.297000000006</v>
      </c>
      <c r="H75" s="349">
        <f t="shared" si="14"/>
        <v>164203.66699999999</v>
      </c>
      <c r="I75" s="349">
        <f t="shared" si="14"/>
        <v>164314.326</v>
      </c>
      <c r="J75" s="349">
        <f t="shared" si="14"/>
        <v>5300</v>
      </c>
      <c r="K75" s="135">
        <f t="shared" si="14"/>
        <v>5300</v>
      </c>
      <c r="L75" s="349">
        <f t="shared" si="14"/>
        <v>21834.1</v>
      </c>
      <c r="M75" s="349">
        <f t="shared" si="14"/>
        <v>21314.1</v>
      </c>
      <c r="N75" s="349">
        <f t="shared" si="14"/>
        <v>22284.203000000001</v>
      </c>
      <c r="O75" s="349">
        <f t="shared" si="14"/>
        <v>23421.321000000004</v>
      </c>
      <c r="P75" s="349">
        <f t="shared" si="14"/>
        <v>1000</v>
      </c>
      <c r="Q75" s="349">
        <f t="shared" si="14"/>
        <v>1000</v>
      </c>
      <c r="R75" s="135">
        <f t="shared" si="14"/>
        <v>0</v>
      </c>
      <c r="S75" s="135">
        <f t="shared" si="14"/>
        <v>0</v>
      </c>
      <c r="T75" s="349">
        <f t="shared" si="14"/>
        <v>571836.66190000006</v>
      </c>
      <c r="U75" s="349">
        <f t="shared" si="14"/>
        <v>542998.99490000005</v>
      </c>
      <c r="V75" s="349">
        <f t="shared" si="14"/>
        <v>28041.8</v>
      </c>
      <c r="W75" s="349">
        <f t="shared" si="14"/>
        <v>81242.209000000003</v>
      </c>
      <c r="X75" s="349">
        <f t="shared" si="14"/>
        <v>31143.394999999997</v>
      </c>
      <c r="Y75" s="135">
        <f t="shared" si="14"/>
        <v>35964.633000000002</v>
      </c>
      <c r="Z75" s="135">
        <f t="shared" si="14"/>
        <v>15351.323</v>
      </c>
      <c r="AA75" s="135">
        <f t="shared" si="14"/>
        <v>15351.323</v>
      </c>
      <c r="AB75" s="135">
        <f>SUM(AB5:AB74)</f>
        <v>990462.52789999999</v>
      </c>
      <c r="AC75" s="135">
        <f>SUM(AC5:AC74)</f>
        <v>1038819.0338999999</v>
      </c>
      <c r="AD75" s="135">
        <f t="shared" si="14"/>
        <v>0</v>
      </c>
      <c r="AE75" s="135"/>
      <c r="AF75" s="135"/>
      <c r="AG75" s="66"/>
      <c r="AH75" s="66"/>
    </row>
    <row r="76" spans="1:34" ht="15.75" x14ac:dyDescent="0.25">
      <c r="A76" s="64">
        <v>75</v>
      </c>
      <c r="B76" s="64"/>
      <c r="C76" s="81" t="s">
        <v>349</v>
      </c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79"/>
      <c r="AH76" s="179"/>
    </row>
    <row r="77" spans="1:34" ht="15.75" x14ac:dyDescent="0.25">
      <c r="A77" s="64">
        <v>76</v>
      </c>
      <c r="B77" s="78"/>
      <c r="C77" s="185" t="s">
        <v>350</v>
      </c>
      <c r="D77" s="184">
        <v>1</v>
      </c>
      <c r="E77" s="184">
        <v>1</v>
      </c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3"/>
      <c r="AH77" s="183"/>
    </row>
    <row r="78" spans="1:34" ht="15.75" x14ac:dyDescent="0.25">
      <c r="A78" s="64">
        <v>77</v>
      </c>
      <c r="B78" s="78"/>
      <c r="C78" s="185" t="s">
        <v>351</v>
      </c>
      <c r="D78" s="184">
        <v>6</v>
      </c>
      <c r="E78" s="184">
        <v>6</v>
      </c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3"/>
      <c r="AH78" s="183"/>
    </row>
    <row r="79" spans="1:34" ht="15.75" x14ac:dyDescent="0.25">
      <c r="A79" s="64">
        <v>78</v>
      </c>
      <c r="B79" s="78"/>
      <c r="C79" s="185" t="s">
        <v>352</v>
      </c>
      <c r="D79" s="184">
        <v>2</v>
      </c>
      <c r="E79" s="184">
        <v>2</v>
      </c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3"/>
      <c r="AH79" s="183"/>
    </row>
    <row r="80" spans="1:34" ht="15.75" x14ac:dyDescent="0.25">
      <c r="A80" s="64">
        <v>79</v>
      </c>
      <c r="B80" s="78"/>
      <c r="C80" s="185" t="s">
        <v>353</v>
      </c>
      <c r="D80" s="184">
        <v>60</v>
      </c>
      <c r="E80" s="184">
        <v>53</v>
      </c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3"/>
      <c r="AH80" s="183"/>
    </row>
    <row r="81" spans="1:34" ht="15.75" x14ac:dyDescent="0.25">
      <c r="A81" s="64">
        <v>80</v>
      </c>
      <c r="B81" s="78"/>
      <c r="C81" s="185" t="s">
        <v>406</v>
      </c>
      <c r="D81" s="184">
        <v>21</v>
      </c>
      <c r="E81" s="184">
        <v>13</v>
      </c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3"/>
      <c r="AH81" s="183"/>
    </row>
    <row r="82" spans="1:34" ht="15.75" x14ac:dyDescent="0.25">
      <c r="A82" s="64">
        <v>81</v>
      </c>
      <c r="B82" s="78"/>
      <c r="C82" s="185" t="s">
        <v>407</v>
      </c>
      <c r="D82" s="184">
        <v>1</v>
      </c>
      <c r="E82" s="184">
        <v>1</v>
      </c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3"/>
      <c r="AH82" s="183"/>
    </row>
    <row r="83" spans="1:34" s="89" customFormat="1" ht="15.75" x14ac:dyDescent="0.25">
      <c r="A83" s="64">
        <v>82</v>
      </c>
      <c r="B83" s="180"/>
      <c r="C83" s="186" t="s">
        <v>195</v>
      </c>
      <c r="D83" s="187">
        <f>SUM(D77:D82)</f>
        <v>91</v>
      </c>
      <c r="E83" s="187">
        <f>SUM(E77:E82)</f>
        <v>76</v>
      </c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79"/>
      <c r="AH83" s="179"/>
    </row>
    <row r="84" spans="1:34" ht="15.75" x14ac:dyDescent="0.25">
      <c r="A84" s="64">
        <v>83</v>
      </c>
      <c r="B84" s="78"/>
      <c r="C84" s="181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3"/>
      <c r="AH84" s="183"/>
    </row>
    <row r="85" spans="1:34" x14ac:dyDescent="0.25">
      <c r="A85" s="64">
        <v>84</v>
      </c>
      <c r="B85" s="64"/>
      <c r="C85" s="85" t="s">
        <v>238</v>
      </c>
      <c r="D85" s="140">
        <f t="shared" ref="D85:AC85" si="15">SUMIF($B5:$B74,"kötelező",D5:D74)</f>
        <v>88088.686000000002</v>
      </c>
      <c r="E85" s="140">
        <f t="shared" si="15"/>
        <v>104683.886</v>
      </c>
      <c r="F85" s="140">
        <f t="shared" si="15"/>
        <v>10870.428000000002</v>
      </c>
      <c r="G85" s="140">
        <f t="shared" si="15"/>
        <v>12719.977000000003</v>
      </c>
      <c r="H85" s="140">
        <f t="shared" si="15"/>
        <v>97864.771999999997</v>
      </c>
      <c r="I85" s="140">
        <f t="shared" si="15"/>
        <v>97975.430999999997</v>
      </c>
      <c r="J85" s="140">
        <f t="shared" si="15"/>
        <v>2000</v>
      </c>
      <c r="K85" s="140">
        <f t="shared" si="15"/>
        <v>2000</v>
      </c>
      <c r="L85" s="140">
        <f t="shared" si="15"/>
        <v>16108.1</v>
      </c>
      <c r="M85" s="140">
        <f t="shared" si="15"/>
        <v>16108.1</v>
      </c>
      <c r="N85" s="140">
        <f t="shared" si="15"/>
        <v>2903</v>
      </c>
      <c r="O85" s="140">
        <f t="shared" si="15"/>
        <v>3320.1180000000004</v>
      </c>
      <c r="P85" s="140">
        <f t="shared" si="15"/>
        <v>1000</v>
      </c>
      <c r="Q85" s="140">
        <f t="shared" si="15"/>
        <v>1000</v>
      </c>
      <c r="R85" s="140">
        <f t="shared" si="15"/>
        <v>0</v>
      </c>
      <c r="S85" s="140">
        <f t="shared" si="15"/>
        <v>0</v>
      </c>
      <c r="T85" s="140">
        <f t="shared" si="15"/>
        <v>3081.78</v>
      </c>
      <c r="U85" s="140">
        <f t="shared" si="15"/>
        <v>3081.78</v>
      </c>
      <c r="V85" s="140">
        <f t="shared" si="15"/>
        <v>1300.7</v>
      </c>
      <c r="W85" s="140">
        <f t="shared" si="15"/>
        <v>1300.7</v>
      </c>
      <c r="X85" s="140">
        <f t="shared" si="15"/>
        <v>0</v>
      </c>
      <c r="Y85" s="140">
        <f t="shared" si="15"/>
        <v>0</v>
      </c>
      <c r="Z85" s="140">
        <f t="shared" si="15"/>
        <v>15351.323</v>
      </c>
      <c r="AA85" s="140">
        <f t="shared" si="15"/>
        <v>15351.323</v>
      </c>
      <c r="AB85" s="140">
        <f t="shared" si="15"/>
        <v>238568.78900000002</v>
      </c>
      <c r="AC85" s="140">
        <f t="shared" si="15"/>
        <v>257541.31499999997</v>
      </c>
      <c r="AD85" s="136"/>
      <c r="AE85" s="136"/>
      <c r="AF85" s="136"/>
      <c r="AG85" s="86"/>
      <c r="AH85" s="86"/>
    </row>
    <row r="86" spans="1:34" x14ac:dyDescent="0.25">
      <c r="A86" s="64">
        <v>85</v>
      </c>
      <c r="B86" s="64"/>
      <c r="C86" s="85" t="s">
        <v>239</v>
      </c>
      <c r="D86" s="140">
        <f t="shared" ref="D86:AD86" si="16">SUMIF($B5:$B74,"nem kötelező",D5:D74)</f>
        <v>24697.944000000003</v>
      </c>
      <c r="E86" s="140">
        <f t="shared" si="16"/>
        <v>24697.944000000003</v>
      </c>
      <c r="F86" s="140">
        <f t="shared" si="16"/>
        <v>5810.32</v>
      </c>
      <c r="G86" s="140">
        <f t="shared" si="16"/>
        <v>5810.32</v>
      </c>
      <c r="H86" s="140">
        <f t="shared" si="16"/>
        <v>66338.895000000004</v>
      </c>
      <c r="I86" s="140">
        <f t="shared" si="16"/>
        <v>66338.895000000004</v>
      </c>
      <c r="J86" s="140">
        <f t="shared" si="16"/>
        <v>3300</v>
      </c>
      <c r="K86" s="140">
        <f t="shared" si="16"/>
        <v>3300</v>
      </c>
      <c r="L86" s="140">
        <f t="shared" si="16"/>
        <v>5726</v>
      </c>
      <c r="M86" s="140">
        <f t="shared" si="16"/>
        <v>5206</v>
      </c>
      <c r="N86" s="140">
        <f t="shared" si="16"/>
        <v>19381.203000000001</v>
      </c>
      <c r="O86" s="140">
        <f t="shared" si="16"/>
        <v>20101.203000000001</v>
      </c>
      <c r="P86" s="140">
        <f t="shared" si="16"/>
        <v>0</v>
      </c>
      <c r="Q86" s="140">
        <f t="shared" si="16"/>
        <v>0</v>
      </c>
      <c r="R86" s="140">
        <f t="shared" si="16"/>
        <v>0</v>
      </c>
      <c r="S86" s="140">
        <f t="shared" si="16"/>
        <v>0</v>
      </c>
      <c r="T86" s="140">
        <f t="shared" si="16"/>
        <v>568754.88190000004</v>
      </c>
      <c r="U86" s="140">
        <f t="shared" si="16"/>
        <v>539917.21490000002</v>
      </c>
      <c r="V86" s="140">
        <f t="shared" si="16"/>
        <v>26741.1</v>
      </c>
      <c r="W86" s="140">
        <f t="shared" si="16"/>
        <v>79941.509000000005</v>
      </c>
      <c r="X86" s="140">
        <f t="shared" si="16"/>
        <v>31143.394999999997</v>
      </c>
      <c r="Y86" s="140">
        <f t="shared" si="16"/>
        <v>35964.633000000002</v>
      </c>
      <c r="Z86" s="140">
        <f t="shared" si="16"/>
        <v>0</v>
      </c>
      <c r="AA86" s="140">
        <f t="shared" si="16"/>
        <v>0</v>
      </c>
      <c r="AB86" s="140">
        <f t="shared" si="16"/>
        <v>751893.7389</v>
      </c>
      <c r="AC86" s="140">
        <f t="shared" si="16"/>
        <v>781277.71890000009</v>
      </c>
      <c r="AD86" s="140">
        <f t="shared" si="16"/>
        <v>0</v>
      </c>
      <c r="AE86" s="140"/>
      <c r="AF86" s="136"/>
      <c r="AG86" s="86"/>
      <c r="AH86" s="86"/>
    </row>
    <row r="87" spans="1:34" s="89" customFormat="1" x14ac:dyDescent="0.25">
      <c r="A87" s="64">
        <v>86</v>
      </c>
      <c r="B87" s="87"/>
      <c r="C87" s="88" t="s">
        <v>315</v>
      </c>
      <c r="D87" s="142">
        <f>SUM(D88:D89)</f>
        <v>59730</v>
      </c>
      <c r="E87" s="142">
        <f>SUM(E88:E89)</f>
        <v>62471.4</v>
      </c>
      <c r="F87" s="142">
        <f t="shared" ref="F87:AE87" si="17">SUM(F88:F89)</f>
        <v>11800</v>
      </c>
      <c r="G87" s="142">
        <f t="shared" si="17"/>
        <v>12334.5</v>
      </c>
      <c r="H87" s="142">
        <f t="shared" si="17"/>
        <v>9460</v>
      </c>
      <c r="I87" s="142">
        <f t="shared" si="17"/>
        <v>10092.496999999999</v>
      </c>
      <c r="J87" s="142">
        <f t="shared" si="17"/>
        <v>0</v>
      </c>
      <c r="K87" s="142">
        <f t="shared" si="17"/>
        <v>0</v>
      </c>
      <c r="L87" s="142">
        <f t="shared" si="17"/>
        <v>0</v>
      </c>
      <c r="M87" s="142">
        <f t="shared" si="17"/>
        <v>0</v>
      </c>
      <c r="N87" s="142">
        <f t="shared" si="17"/>
        <v>0</v>
      </c>
      <c r="O87" s="142">
        <f t="shared" si="17"/>
        <v>0</v>
      </c>
      <c r="P87" s="142">
        <f t="shared" si="17"/>
        <v>0</v>
      </c>
      <c r="Q87" s="142">
        <f t="shared" si="17"/>
        <v>0</v>
      </c>
      <c r="R87" s="142">
        <v>0</v>
      </c>
      <c r="S87" s="142">
        <v>0</v>
      </c>
      <c r="T87" s="142">
        <f t="shared" si="17"/>
        <v>149.4</v>
      </c>
      <c r="U87" s="142">
        <f t="shared" si="17"/>
        <v>149.4</v>
      </c>
      <c r="V87" s="142">
        <f t="shared" si="17"/>
        <v>0</v>
      </c>
      <c r="W87" s="142"/>
      <c r="X87" s="142">
        <f t="shared" si="17"/>
        <v>0</v>
      </c>
      <c r="Y87" s="142"/>
      <c r="Z87" s="142">
        <f t="shared" si="17"/>
        <v>0</v>
      </c>
      <c r="AA87" s="142"/>
      <c r="AB87" s="142">
        <f>SUM(AB88:AB89)</f>
        <v>81139.399999999994</v>
      </c>
      <c r="AC87" s="142">
        <f>SUM(AC88:AC89)</f>
        <v>85047.796999999991</v>
      </c>
      <c r="AD87" s="142">
        <f t="shared" si="17"/>
        <v>80794.399999999994</v>
      </c>
      <c r="AE87" s="142">
        <f t="shared" si="17"/>
        <v>84070.299999999988</v>
      </c>
      <c r="AF87" s="136"/>
      <c r="AG87" s="86"/>
      <c r="AH87" s="86"/>
    </row>
    <row r="88" spans="1:34" x14ac:dyDescent="0.25">
      <c r="A88" s="64">
        <v>87</v>
      </c>
      <c r="B88" s="64" t="s">
        <v>211</v>
      </c>
      <c r="C88" s="90" t="s">
        <v>238</v>
      </c>
      <c r="D88" s="137">
        <v>53568.2</v>
      </c>
      <c r="E88" s="137">
        <v>56309.599999999999</v>
      </c>
      <c r="F88" s="137">
        <v>10553.8</v>
      </c>
      <c r="G88" s="137">
        <v>11088.3</v>
      </c>
      <c r="H88" s="137">
        <v>9460</v>
      </c>
      <c r="I88" s="137">
        <v>10092.496999999999</v>
      </c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>
        <v>149.4</v>
      </c>
      <c r="U88" s="137">
        <v>149.4</v>
      </c>
      <c r="V88" s="137"/>
      <c r="W88" s="137"/>
      <c r="X88" s="137"/>
      <c r="Y88" s="137"/>
      <c r="Z88" s="137"/>
      <c r="AA88" s="137"/>
      <c r="AB88" s="137">
        <f>D88+F88+H88+J88+L88+N88+P88+R88+T88+V88+X88+Z88</f>
        <v>73731.399999999994</v>
      </c>
      <c r="AC88" s="137">
        <f>E88+G88+I88+K88+M88+O88+Q88+S88+U88+W88+Y88+AA88</f>
        <v>77639.796999999991</v>
      </c>
      <c r="AD88" s="143">
        <v>73386.399999999994</v>
      </c>
      <c r="AE88" s="143">
        <f>AD88+3275.9</f>
        <v>76662.299999999988</v>
      </c>
      <c r="AF88" s="143"/>
      <c r="AG88" s="91"/>
      <c r="AH88" s="91"/>
    </row>
    <row r="89" spans="1:34" x14ac:dyDescent="0.25">
      <c r="A89" s="64">
        <v>88</v>
      </c>
      <c r="B89" s="64" t="s">
        <v>306</v>
      </c>
      <c r="C89" s="90" t="s">
        <v>305</v>
      </c>
      <c r="D89" s="137">
        <v>6161.8</v>
      </c>
      <c r="E89" s="137">
        <v>6161.8</v>
      </c>
      <c r="F89" s="137">
        <v>1246.2</v>
      </c>
      <c r="G89" s="137">
        <v>1246.2</v>
      </c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>
        <f>D89+F89+H89+J89+L89+N89+P89+R89+T89+V89+X89+Z89</f>
        <v>7408</v>
      </c>
      <c r="AC89" s="137">
        <f>E89+G89+I89+K89+M89+O89+Q89+S89+U89+W89+Y89+AA89</f>
        <v>7408</v>
      </c>
      <c r="AD89" s="143">
        <v>7408</v>
      </c>
      <c r="AE89" s="143">
        <v>7408</v>
      </c>
      <c r="AF89" s="143"/>
      <c r="AG89" s="91"/>
      <c r="AH89" s="91"/>
    </row>
    <row r="90" spans="1:34" s="89" customFormat="1" x14ac:dyDescent="0.25">
      <c r="A90" s="64">
        <v>89</v>
      </c>
      <c r="B90" s="87"/>
      <c r="C90" s="88" t="s">
        <v>240</v>
      </c>
      <c r="D90" s="142">
        <f>SUM(D91:D92)</f>
        <v>77715.199999999997</v>
      </c>
      <c r="E90" s="142">
        <f>SUM(E91:E92)</f>
        <v>77715.199999999997</v>
      </c>
      <c r="F90" s="142">
        <f t="shared" ref="F90:AE90" si="18">SUM(F91:F92)</f>
        <v>15078</v>
      </c>
      <c r="G90" s="142">
        <f t="shared" si="18"/>
        <v>15078</v>
      </c>
      <c r="H90" s="142">
        <f t="shared" si="18"/>
        <v>6089.5</v>
      </c>
      <c r="I90" s="142">
        <f t="shared" si="18"/>
        <v>6089.5</v>
      </c>
      <c r="J90" s="142">
        <f t="shared" si="18"/>
        <v>0</v>
      </c>
      <c r="K90" s="142">
        <f t="shared" si="18"/>
        <v>0</v>
      </c>
      <c r="L90" s="142">
        <f t="shared" si="18"/>
        <v>0</v>
      </c>
      <c r="M90" s="142">
        <f t="shared" si="18"/>
        <v>0</v>
      </c>
      <c r="N90" s="142">
        <f t="shared" si="18"/>
        <v>0</v>
      </c>
      <c r="O90" s="142">
        <f t="shared" si="18"/>
        <v>0</v>
      </c>
      <c r="P90" s="142">
        <f t="shared" si="18"/>
        <v>0</v>
      </c>
      <c r="Q90" s="142">
        <f t="shared" si="18"/>
        <v>0</v>
      </c>
      <c r="R90" s="142">
        <f t="shared" si="18"/>
        <v>0</v>
      </c>
      <c r="S90" s="142">
        <f t="shared" si="18"/>
        <v>0</v>
      </c>
      <c r="T90" s="142">
        <f t="shared" si="18"/>
        <v>795</v>
      </c>
      <c r="U90" s="142">
        <f t="shared" si="18"/>
        <v>795</v>
      </c>
      <c r="V90" s="142">
        <f t="shared" si="18"/>
        <v>0</v>
      </c>
      <c r="W90" s="142">
        <f t="shared" si="18"/>
        <v>0</v>
      </c>
      <c r="X90" s="142">
        <f t="shared" si="18"/>
        <v>0</v>
      </c>
      <c r="Y90" s="142">
        <f t="shared" si="18"/>
        <v>0</v>
      </c>
      <c r="Z90" s="142">
        <f t="shared" si="18"/>
        <v>0</v>
      </c>
      <c r="AA90" s="142">
        <f t="shared" si="18"/>
        <v>0</v>
      </c>
      <c r="AB90" s="142">
        <f t="shared" si="18"/>
        <v>99677.7</v>
      </c>
      <c r="AC90" s="142">
        <f t="shared" si="18"/>
        <v>99677.7</v>
      </c>
      <c r="AD90" s="142">
        <f t="shared" si="18"/>
        <v>99671.2</v>
      </c>
      <c r="AE90" s="142">
        <f t="shared" si="18"/>
        <v>99671.2</v>
      </c>
      <c r="AF90" s="136"/>
      <c r="AG90" s="86"/>
      <c r="AH90" s="86"/>
    </row>
    <row r="91" spans="1:34" x14ac:dyDescent="0.25">
      <c r="A91" s="64">
        <v>90</v>
      </c>
      <c r="B91" s="64" t="s">
        <v>211</v>
      </c>
      <c r="C91" s="90" t="s">
        <v>238</v>
      </c>
      <c r="D91" s="137">
        <v>77715.199999999997</v>
      </c>
      <c r="E91" s="137">
        <v>77715.199999999997</v>
      </c>
      <c r="F91" s="137">
        <v>15078</v>
      </c>
      <c r="G91" s="137">
        <v>15078</v>
      </c>
      <c r="H91" s="137">
        <v>6089.5</v>
      </c>
      <c r="I91" s="137">
        <v>6089.5</v>
      </c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>
        <v>795</v>
      </c>
      <c r="U91" s="137">
        <v>795</v>
      </c>
      <c r="V91" s="137"/>
      <c r="W91" s="137"/>
      <c r="X91" s="137"/>
      <c r="Y91" s="137"/>
      <c r="Z91" s="137"/>
      <c r="AA91" s="137"/>
      <c r="AB91" s="137">
        <f>D91+F91+H91+J91+L91+N91+P91+R91+T91+V91+X91+Z91</f>
        <v>99677.7</v>
      </c>
      <c r="AC91" s="137">
        <f>E91+G91+I91+K91+M91+O91+Q91+S91+U91+W91+Y91+AA91</f>
        <v>99677.7</v>
      </c>
      <c r="AD91" s="143">
        <v>99671.2</v>
      </c>
      <c r="AE91" s="143">
        <f>AD91</f>
        <v>99671.2</v>
      </c>
      <c r="AF91" s="143"/>
      <c r="AG91" s="91"/>
      <c r="AH91" s="91"/>
    </row>
    <row r="92" spans="1:34" x14ac:dyDescent="0.25">
      <c r="A92" s="64">
        <v>91</v>
      </c>
      <c r="B92" s="64" t="s">
        <v>215</v>
      </c>
      <c r="C92" s="90" t="s">
        <v>239</v>
      </c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>
        <f>D92+F92+H92+J92+L92+N92+P92+R92+T92+V92+X92+Z92</f>
        <v>0</v>
      </c>
      <c r="AC92" s="137">
        <f>E92+G92+I92+K92+M92+O92+Q92+S92+U92+W92+Y92+AA92</f>
        <v>0</v>
      </c>
      <c r="AD92" s="143"/>
      <c r="AE92" s="143"/>
      <c r="AF92" s="143"/>
      <c r="AG92" s="91"/>
      <c r="AH92" s="91"/>
    </row>
    <row r="93" spans="1:34" s="89" customFormat="1" x14ac:dyDescent="0.25">
      <c r="A93" s="64">
        <v>92</v>
      </c>
      <c r="B93" s="87"/>
      <c r="C93" s="88" t="s">
        <v>241</v>
      </c>
      <c r="D93" s="142">
        <f>SUM(D94:D95)</f>
        <v>87518.9</v>
      </c>
      <c r="E93" s="142">
        <f>SUM(E94:E95)</f>
        <v>87518.9</v>
      </c>
      <c r="F93" s="142">
        <f t="shared" ref="F93:AE93" si="19">SUM(F94:F95)</f>
        <v>16858.5</v>
      </c>
      <c r="G93" s="142">
        <f t="shared" si="19"/>
        <v>16858.5</v>
      </c>
      <c r="H93" s="142">
        <f t="shared" si="19"/>
        <v>38453</v>
      </c>
      <c r="I93" s="142">
        <f t="shared" si="19"/>
        <v>38453</v>
      </c>
      <c r="J93" s="142">
        <f t="shared" si="19"/>
        <v>0</v>
      </c>
      <c r="K93" s="142">
        <f t="shared" si="19"/>
        <v>0</v>
      </c>
      <c r="L93" s="142">
        <f t="shared" si="19"/>
        <v>0</v>
      </c>
      <c r="M93" s="142">
        <f t="shared" si="19"/>
        <v>0</v>
      </c>
      <c r="N93" s="142">
        <f t="shared" si="19"/>
        <v>0</v>
      </c>
      <c r="O93" s="142">
        <f t="shared" si="19"/>
        <v>0</v>
      </c>
      <c r="P93" s="142">
        <f t="shared" si="19"/>
        <v>0</v>
      </c>
      <c r="Q93" s="142">
        <f t="shared" si="19"/>
        <v>0</v>
      </c>
      <c r="R93" s="142">
        <v>0</v>
      </c>
      <c r="S93" s="142">
        <v>0</v>
      </c>
      <c r="T93" s="142">
        <f t="shared" si="19"/>
        <v>2460</v>
      </c>
      <c r="U93" s="142">
        <f t="shared" si="19"/>
        <v>2776.6660000000002</v>
      </c>
      <c r="V93" s="142">
        <f t="shared" si="19"/>
        <v>0</v>
      </c>
      <c r="W93" s="142"/>
      <c r="X93" s="142">
        <f t="shared" si="19"/>
        <v>0</v>
      </c>
      <c r="Y93" s="142"/>
      <c r="Z93" s="142">
        <f t="shared" si="19"/>
        <v>0</v>
      </c>
      <c r="AA93" s="142"/>
      <c r="AB93" s="142">
        <f t="shared" si="19"/>
        <v>145290.4</v>
      </c>
      <c r="AC93" s="142">
        <f t="shared" si="19"/>
        <v>145607.06599999999</v>
      </c>
      <c r="AD93" s="142">
        <f t="shared" si="19"/>
        <v>113191.4</v>
      </c>
      <c r="AE93" s="142">
        <f t="shared" si="19"/>
        <v>113191.4</v>
      </c>
      <c r="AF93" s="136"/>
      <c r="AG93" s="86"/>
      <c r="AH93" s="86"/>
    </row>
    <row r="94" spans="1:34" x14ac:dyDescent="0.25">
      <c r="A94" s="64">
        <v>93</v>
      </c>
      <c r="B94" s="64" t="s">
        <v>211</v>
      </c>
      <c r="C94" s="90" t="s">
        <v>238</v>
      </c>
      <c r="D94" s="137">
        <v>34154.9</v>
      </c>
      <c r="E94" s="137">
        <v>34154.9</v>
      </c>
      <c r="F94" s="137">
        <v>6568.5</v>
      </c>
      <c r="G94" s="137">
        <v>6568.5</v>
      </c>
      <c r="H94" s="137">
        <v>13363</v>
      </c>
      <c r="I94" s="137">
        <v>13363</v>
      </c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>
        <v>2160</v>
      </c>
      <c r="U94" s="137">
        <v>2160</v>
      </c>
      <c r="V94" s="137"/>
      <c r="W94" s="137"/>
      <c r="X94" s="137"/>
      <c r="Y94" s="137"/>
      <c r="Z94" s="137"/>
      <c r="AA94" s="137"/>
      <c r="AB94" s="137">
        <f>D94+F94+H94+J94+L94+N94+P94+R94+T94+V94+X94+Z94</f>
        <v>56246.400000000001</v>
      </c>
      <c r="AC94" s="137">
        <f>E94+G94+I94+K94+M94+O94+Q94+S94+U94+W94+Y94+AA94</f>
        <v>56246.400000000001</v>
      </c>
      <c r="AD94" s="143">
        <v>51877.4</v>
      </c>
      <c r="AE94" s="143">
        <f>AD94</f>
        <v>51877.4</v>
      </c>
      <c r="AF94" s="143"/>
      <c r="AG94" s="91"/>
      <c r="AH94" s="91"/>
    </row>
    <row r="95" spans="1:34" x14ac:dyDescent="0.25">
      <c r="A95" s="64">
        <v>94</v>
      </c>
      <c r="B95" s="64" t="s">
        <v>215</v>
      </c>
      <c r="C95" s="90" t="s">
        <v>239</v>
      </c>
      <c r="D95" s="137">
        <v>53364</v>
      </c>
      <c r="E95" s="137">
        <v>53364</v>
      </c>
      <c r="F95" s="137">
        <v>10290</v>
      </c>
      <c r="G95" s="137">
        <v>10290</v>
      </c>
      <c r="H95" s="137">
        <v>25090</v>
      </c>
      <c r="I95" s="137">
        <v>25090</v>
      </c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>
        <v>300</v>
      </c>
      <c r="U95" s="137">
        <v>616.66600000000005</v>
      </c>
      <c r="V95" s="137"/>
      <c r="W95" s="137"/>
      <c r="X95" s="137"/>
      <c r="Y95" s="137"/>
      <c r="Z95" s="137"/>
      <c r="AA95" s="137"/>
      <c r="AB95" s="137">
        <f>D95+F95+H95+J95+L95+N95+P95+R95+T95+V95+X95+Z95</f>
        <v>89044</v>
      </c>
      <c r="AC95" s="137">
        <f>E95+G95+I95+K95+M95+O95+Q95+S95+U95+W95+Y95+AA95</f>
        <v>89360.665999999997</v>
      </c>
      <c r="AD95" s="143">
        <v>61314</v>
      </c>
      <c r="AE95" s="143">
        <f>AD95</f>
        <v>61314</v>
      </c>
      <c r="AF95" s="143"/>
      <c r="AG95" s="91"/>
      <c r="AH95" s="91"/>
    </row>
    <row r="96" spans="1:34" s="89" customFormat="1" x14ac:dyDescent="0.25">
      <c r="A96" s="64">
        <v>95</v>
      </c>
      <c r="B96" s="87"/>
      <c r="C96" s="88" t="s">
        <v>339</v>
      </c>
      <c r="D96" s="142">
        <f>SUM(D97:D98)</f>
        <v>13393</v>
      </c>
      <c r="E96" s="142">
        <f>SUM(E97:E98)</f>
        <v>17229</v>
      </c>
      <c r="F96" s="142">
        <f t="shared" ref="F96:AE96" si="20">SUM(F97:F98)</f>
        <v>2658</v>
      </c>
      <c r="G96" s="142">
        <f t="shared" si="20"/>
        <v>3031.9839999999999</v>
      </c>
      <c r="H96" s="142">
        <f t="shared" si="20"/>
        <v>30519.01</v>
      </c>
      <c r="I96" s="142">
        <f t="shared" si="20"/>
        <v>30519.01</v>
      </c>
      <c r="J96" s="142">
        <f t="shared" si="20"/>
        <v>0</v>
      </c>
      <c r="K96" s="142">
        <f t="shared" si="20"/>
        <v>0</v>
      </c>
      <c r="L96" s="142">
        <f t="shared" si="20"/>
        <v>0</v>
      </c>
      <c r="M96" s="142">
        <f t="shared" si="20"/>
        <v>0</v>
      </c>
      <c r="N96" s="142">
        <f t="shared" si="20"/>
        <v>0</v>
      </c>
      <c r="O96" s="142">
        <f t="shared" si="20"/>
        <v>0</v>
      </c>
      <c r="P96" s="142">
        <f t="shared" si="20"/>
        <v>0</v>
      </c>
      <c r="Q96" s="142">
        <f t="shared" si="20"/>
        <v>0</v>
      </c>
      <c r="R96" s="142">
        <f t="shared" si="20"/>
        <v>0</v>
      </c>
      <c r="S96" s="142">
        <f t="shared" si="20"/>
        <v>0</v>
      </c>
      <c r="T96" s="142">
        <f t="shared" si="20"/>
        <v>127</v>
      </c>
      <c r="U96" s="142">
        <f t="shared" si="20"/>
        <v>127</v>
      </c>
      <c r="V96" s="142">
        <f t="shared" si="20"/>
        <v>0</v>
      </c>
      <c r="W96" s="142">
        <f t="shared" si="20"/>
        <v>0</v>
      </c>
      <c r="X96" s="142">
        <f t="shared" si="20"/>
        <v>0</v>
      </c>
      <c r="Y96" s="142">
        <f t="shared" si="20"/>
        <v>0</v>
      </c>
      <c r="Z96" s="142">
        <f t="shared" si="20"/>
        <v>0</v>
      </c>
      <c r="AA96" s="142">
        <f t="shared" si="20"/>
        <v>0</v>
      </c>
      <c r="AB96" s="142">
        <f t="shared" si="20"/>
        <v>46697.009999999995</v>
      </c>
      <c r="AC96" s="142">
        <f t="shared" si="20"/>
        <v>50906.993999999999</v>
      </c>
      <c r="AD96" s="142">
        <f t="shared" si="20"/>
        <v>29886.436000000002</v>
      </c>
      <c r="AE96" s="142">
        <f t="shared" si="20"/>
        <v>29886.436000000002</v>
      </c>
      <c r="AF96" s="142"/>
      <c r="AG96" s="86"/>
      <c r="AH96" s="86"/>
    </row>
    <row r="97" spans="1:35" x14ac:dyDescent="0.25">
      <c r="A97" s="64">
        <v>96</v>
      </c>
      <c r="B97" s="64" t="s">
        <v>211</v>
      </c>
      <c r="C97" s="90" t="s">
        <v>238</v>
      </c>
      <c r="D97" s="137">
        <v>10212</v>
      </c>
      <c r="E97" s="137">
        <v>10212</v>
      </c>
      <c r="F97" s="137">
        <v>1900</v>
      </c>
      <c r="G97" s="137">
        <v>1900</v>
      </c>
      <c r="H97" s="137">
        <v>4000</v>
      </c>
      <c r="I97" s="137">
        <v>4000</v>
      </c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>
        <v>127</v>
      </c>
      <c r="U97" s="137">
        <v>127</v>
      </c>
      <c r="V97" s="137"/>
      <c r="W97" s="137"/>
      <c r="X97" s="137"/>
      <c r="Y97" s="137"/>
      <c r="Z97" s="137"/>
      <c r="AA97" s="137"/>
      <c r="AB97" s="137">
        <f>D97+F97+H97+J97+L97+N97+P97+R97+T97+V97+X97+Z97</f>
        <v>16239</v>
      </c>
      <c r="AC97" s="137">
        <f>E97+G97+I97+K97+M97+O97+Q97+S97+U97+W97+Y97+AA97</f>
        <v>16239</v>
      </c>
      <c r="AD97" s="143">
        <v>13629.1</v>
      </c>
      <c r="AE97" s="143">
        <f>AD97</f>
        <v>13629.1</v>
      </c>
      <c r="AF97" s="143"/>
      <c r="AG97" s="91"/>
      <c r="AH97" s="91"/>
    </row>
    <row r="98" spans="1:35" x14ac:dyDescent="0.25">
      <c r="A98" s="64">
        <v>97</v>
      </c>
      <c r="B98" s="64" t="s">
        <v>215</v>
      </c>
      <c r="C98" s="90" t="s">
        <v>239</v>
      </c>
      <c r="D98" s="137">
        <v>3181</v>
      </c>
      <c r="E98" s="137">
        <v>7017</v>
      </c>
      <c r="F98" s="137">
        <v>758</v>
      </c>
      <c r="G98" s="137">
        <v>1131.9839999999999</v>
      </c>
      <c r="H98" s="137">
        <v>26519.01</v>
      </c>
      <c r="I98" s="137">
        <v>26519.01</v>
      </c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>
        <f>D98+F98+H98+J98+L98+N98+P98+R98+T98+V98+X98+Z98</f>
        <v>30458.01</v>
      </c>
      <c r="AC98" s="137">
        <f>E98+G98+I98+K98+M98+O98+Q98+S98+U98+W98+Y98+AA98</f>
        <v>34667.993999999999</v>
      </c>
      <c r="AD98" s="143">
        <v>16257.335999999999</v>
      </c>
      <c r="AE98" s="143">
        <f>AD98</f>
        <v>16257.335999999999</v>
      </c>
      <c r="AF98" s="143"/>
      <c r="AG98" s="91"/>
      <c r="AH98" s="91"/>
    </row>
    <row r="99" spans="1:35" s="89" customFormat="1" ht="15.75" x14ac:dyDescent="0.25">
      <c r="A99" s="64">
        <v>98</v>
      </c>
      <c r="B99" s="87"/>
      <c r="C99" s="81" t="s">
        <v>242</v>
      </c>
      <c r="D99" s="142">
        <f>D75+D87+D90+D93+D96</f>
        <v>351143.73</v>
      </c>
      <c r="E99" s="142">
        <f>E75+E87+E90+E93+E96</f>
        <v>374316.32999999996</v>
      </c>
      <c r="F99" s="142">
        <f t="shared" ref="F99:AC99" si="21">F75+F87+F90+F93+F96</f>
        <v>63075.248000000007</v>
      </c>
      <c r="G99" s="142">
        <f t="shared" si="21"/>
        <v>65833.281000000003</v>
      </c>
      <c r="H99" s="142">
        <f t="shared" si="21"/>
        <v>248725.177</v>
      </c>
      <c r="I99" s="142">
        <f t="shared" si="21"/>
        <v>249468.33300000001</v>
      </c>
      <c r="J99" s="142">
        <f t="shared" si="21"/>
        <v>5300</v>
      </c>
      <c r="K99" s="142">
        <f t="shared" si="21"/>
        <v>5300</v>
      </c>
      <c r="L99" s="142">
        <f t="shared" si="21"/>
        <v>21834.1</v>
      </c>
      <c r="M99" s="142">
        <f t="shared" si="21"/>
        <v>21314.1</v>
      </c>
      <c r="N99" s="142">
        <f t="shared" si="21"/>
        <v>22284.203000000001</v>
      </c>
      <c r="O99" s="142">
        <f t="shared" si="21"/>
        <v>23421.321000000004</v>
      </c>
      <c r="P99" s="142">
        <f t="shared" si="21"/>
        <v>1000</v>
      </c>
      <c r="Q99" s="142">
        <f t="shared" si="21"/>
        <v>1000</v>
      </c>
      <c r="R99" s="142">
        <f t="shared" si="21"/>
        <v>0</v>
      </c>
      <c r="S99" s="142">
        <f t="shared" si="21"/>
        <v>0</v>
      </c>
      <c r="T99" s="142">
        <f t="shared" si="21"/>
        <v>575368.06190000009</v>
      </c>
      <c r="U99" s="142">
        <f t="shared" si="21"/>
        <v>546847.06090000004</v>
      </c>
      <c r="V99" s="142">
        <f t="shared" si="21"/>
        <v>28041.8</v>
      </c>
      <c r="W99" s="142">
        <f t="shared" si="21"/>
        <v>81242.209000000003</v>
      </c>
      <c r="X99" s="142">
        <f t="shared" si="21"/>
        <v>31143.394999999997</v>
      </c>
      <c r="Y99" s="142">
        <f t="shared" si="21"/>
        <v>35964.633000000002</v>
      </c>
      <c r="Z99" s="142">
        <f t="shared" si="21"/>
        <v>15351.323</v>
      </c>
      <c r="AA99" s="142">
        <f t="shared" si="21"/>
        <v>15351.323</v>
      </c>
      <c r="AB99" s="142">
        <f t="shared" si="21"/>
        <v>1363267.0378999999</v>
      </c>
      <c r="AC99" s="142">
        <f t="shared" si="21"/>
        <v>1420058.5908999997</v>
      </c>
      <c r="AD99" s="142">
        <f>AD75+AD87+AD90+AD93+AD96</f>
        <v>323543.43599999999</v>
      </c>
      <c r="AE99" s="142">
        <f>AE75+AE87+AE90+AE93+AE96</f>
        <v>326819.33600000001</v>
      </c>
      <c r="AF99" s="142"/>
      <c r="AG99" s="92"/>
      <c r="AH99" s="92"/>
      <c r="AI99" s="119"/>
    </row>
    <row r="100" spans="1:35" s="89" customFormat="1" ht="15.75" x14ac:dyDescent="0.25">
      <c r="A100" s="64">
        <v>99</v>
      </c>
      <c r="B100" s="87"/>
      <c r="C100" s="81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36"/>
      <c r="AE100" s="136"/>
      <c r="AF100" s="136"/>
      <c r="AG100" s="86"/>
      <c r="AH100" s="86"/>
      <c r="AI100" s="119"/>
    </row>
    <row r="101" spans="1:35" x14ac:dyDescent="0.25">
      <c r="A101" s="64">
        <v>100</v>
      </c>
      <c r="B101" s="85"/>
      <c r="C101" s="85" t="s">
        <v>243</v>
      </c>
      <c r="D101" s="140">
        <f>D85+D88+D91+D94+D97</f>
        <v>263738.98600000003</v>
      </c>
      <c r="E101" s="140">
        <f>E85+E88+E91+E94+E97</f>
        <v>283075.58600000001</v>
      </c>
      <c r="F101" s="140">
        <f t="shared" ref="F101:AD101" si="22">F85+F88+F91+F94+F97</f>
        <v>44970.728000000003</v>
      </c>
      <c r="G101" s="140">
        <f t="shared" ref="G101" si="23">G85+G88+G91+G94+G97</f>
        <v>47354.777000000002</v>
      </c>
      <c r="H101" s="140">
        <f t="shared" si="22"/>
        <v>130777.272</v>
      </c>
      <c r="I101" s="140">
        <f t="shared" ref="I101" si="24">I85+I88+I91+I94+I97</f>
        <v>131520.42800000001</v>
      </c>
      <c r="J101" s="140">
        <f t="shared" si="22"/>
        <v>2000</v>
      </c>
      <c r="K101" s="140">
        <f t="shared" ref="K101" si="25">K85+K88+K91+K94+K97</f>
        <v>2000</v>
      </c>
      <c r="L101" s="140">
        <f t="shared" si="22"/>
        <v>16108.1</v>
      </c>
      <c r="M101" s="140">
        <f t="shared" ref="M101" si="26">M85+M88+M91+M94+M97</f>
        <v>16108.1</v>
      </c>
      <c r="N101" s="140">
        <f t="shared" si="22"/>
        <v>2903</v>
      </c>
      <c r="O101" s="140">
        <f t="shared" ref="O101" si="27">O85+O88+O91+O94+O97</f>
        <v>3320.1180000000004</v>
      </c>
      <c r="P101" s="140">
        <f t="shared" si="22"/>
        <v>1000</v>
      </c>
      <c r="Q101" s="140">
        <f t="shared" ref="Q101" si="28">Q85+Q88+Q91+Q94+Q97</f>
        <v>1000</v>
      </c>
      <c r="R101" s="140">
        <f t="shared" si="22"/>
        <v>0</v>
      </c>
      <c r="S101" s="140">
        <f t="shared" ref="S101" si="29">S85+S88+S91+S94+S97</f>
        <v>0</v>
      </c>
      <c r="T101" s="140">
        <f t="shared" si="22"/>
        <v>6313.18</v>
      </c>
      <c r="U101" s="140">
        <f t="shared" ref="U101" si="30">U85+U88+U91+U94+U97</f>
        <v>6313.18</v>
      </c>
      <c r="V101" s="140">
        <f t="shared" si="22"/>
        <v>1300.7</v>
      </c>
      <c r="W101" s="140">
        <f t="shared" ref="W101" si="31">W85+W88+W91+W94+W97</f>
        <v>1300.7</v>
      </c>
      <c r="X101" s="140">
        <f t="shared" si="22"/>
        <v>0</v>
      </c>
      <c r="Y101" s="140">
        <f t="shared" ref="Y101" si="32">Y85+Y88+Y91+Y94+Y97</f>
        <v>0</v>
      </c>
      <c r="Z101" s="140">
        <f t="shared" si="22"/>
        <v>15351.323</v>
      </c>
      <c r="AA101" s="140">
        <f t="shared" ref="AA101" si="33">AA85+AA88+AA91+AA94+AA97</f>
        <v>15351.323</v>
      </c>
      <c r="AB101" s="140">
        <f>AB85+AB88+AB91+AB94+AB97</f>
        <v>484463.28900000005</v>
      </c>
      <c r="AC101" s="140">
        <f>AC85+AC88+AC91+AC94+AC97</f>
        <v>507344.212</v>
      </c>
      <c r="AD101" s="140">
        <f t="shared" si="22"/>
        <v>238564.09999999998</v>
      </c>
      <c r="AE101" s="140">
        <f t="shared" ref="AE101" si="34">AE85+AE88+AE91+AE94+AE97</f>
        <v>241840</v>
      </c>
      <c r="AF101" s="140"/>
      <c r="AG101" s="93"/>
      <c r="AH101" s="93"/>
      <c r="AI101" s="93"/>
    </row>
    <row r="102" spans="1:35" x14ac:dyDescent="0.25">
      <c r="A102" s="64">
        <v>101</v>
      </c>
      <c r="B102" s="85"/>
      <c r="C102" s="85" t="s">
        <v>305</v>
      </c>
      <c r="D102" s="140">
        <f>D89</f>
        <v>6161.8</v>
      </c>
      <c r="E102" s="140">
        <f>E89</f>
        <v>6161.8</v>
      </c>
      <c r="F102" s="140">
        <f t="shared" ref="F102:Z102" si="35">F89</f>
        <v>1246.2</v>
      </c>
      <c r="G102" s="140">
        <f t="shared" ref="G102" si="36">G89</f>
        <v>1246.2</v>
      </c>
      <c r="H102" s="140">
        <f t="shared" si="35"/>
        <v>0</v>
      </c>
      <c r="I102" s="140">
        <f t="shared" ref="I102" si="37">I89</f>
        <v>0</v>
      </c>
      <c r="J102" s="140">
        <f t="shared" si="35"/>
        <v>0</v>
      </c>
      <c r="K102" s="140">
        <f t="shared" ref="K102" si="38">K89</f>
        <v>0</v>
      </c>
      <c r="L102" s="140">
        <f t="shared" si="35"/>
        <v>0</v>
      </c>
      <c r="M102" s="140">
        <f t="shared" ref="M102" si="39">M89</f>
        <v>0</v>
      </c>
      <c r="N102" s="140">
        <f t="shared" si="35"/>
        <v>0</v>
      </c>
      <c r="O102" s="140">
        <f t="shared" ref="O102" si="40">O89</f>
        <v>0</v>
      </c>
      <c r="P102" s="140">
        <f t="shared" si="35"/>
        <v>0</v>
      </c>
      <c r="Q102" s="140">
        <f t="shared" ref="Q102" si="41">Q89</f>
        <v>0</v>
      </c>
      <c r="R102" s="140">
        <f t="shared" si="35"/>
        <v>0</v>
      </c>
      <c r="S102" s="140">
        <f t="shared" ref="S102" si="42">S89</f>
        <v>0</v>
      </c>
      <c r="T102" s="140">
        <f t="shared" si="35"/>
        <v>0</v>
      </c>
      <c r="U102" s="140">
        <f t="shared" ref="U102" si="43">U89</f>
        <v>0</v>
      </c>
      <c r="V102" s="140">
        <f t="shared" si="35"/>
        <v>0</v>
      </c>
      <c r="W102" s="140">
        <f t="shared" ref="W102" si="44">W89</f>
        <v>0</v>
      </c>
      <c r="X102" s="140">
        <f t="shared" si="35"/>
        <v>0</v>
      </c>
      <c r="Y102" s="140">
        <f t="shared" ref="Y102" si="45">Y89</f>
        <v>0</v>
      </c>
      <c r="Z102" s="140">
        <f t="shared" si="35"/>
        <v>0</v>
      </c>
      <c r="AA102" s="140">
        <f t="shared" ref="AA102" si="46">AA89</f>
        <v>0</v>
      </c>
      <c r="AB102" s="140">
        <f>AB89</f>
        <v>7408</v>
      </c>
      <c r="AC102" s="140">
        <f>AC89</f>
        <v>7408</v>
      </c>
      <c r="AD102" s="140">
        <f>AD89</f>
        <v>7408</v>
      </c>
      <c r="AE102" s="140">
        <f>AE89</f>
        <v>7408</v>
      </c>
      <c r="AF102" s="144"/>
      <c r="AG102" s="93"/>
      <c r="AH102" s="93"/>
      <c r="AI102" s="93"/>
    </row>
    <row r="103" spans="1:35" x14ac:dyDescent="0.25">
      <c r="A103" s="64">
        <v>102</v>
      </c>
      <c r="B103" s="85"/>
      <c r="C103" s="85" t="s">
        <v>244</v>
      </c>
      <c r="D103" s="140">
        <f>D86+D92+D95+D98</f>
        <v>81242.944000000003</v>
      </c>
      <c r="E103" s="140">
        <f>E86+E92+E95+E98</f>
        <v>85078.944000000003</v>
      </c>
      <c r="F103" s="140">
        <f t="shared" ref="F103:AD103" si="47">F86+F92+F95+F98</f>
        <v>16858.32</v>
      </c>
      <c r="G103" s="140">
        <f t="shared" ref="G103" si="48">G86+G92+G95+G98</f>
        <v>17232.304</v>
      </c>
      <c r="H103" s="140">
        <f t="shared" si="47"/>
        <v>117947.905</v>
      </c>
      <c r="I103" s="140">
        <f t="shared" ref="I103" si="49">I86+I92+I95+I98</f>
        <v>117947.905</v>
      </c>
      <c r="J103" s="140">
        <f t="shared" si="47"/>
        <v>3300</v>
      </c>
      <c r="K103" s="140">
        <f t="shared" ref="K103" si="50">K86+K92+K95+K98</f>
        <v>3300</v>
      </c>
      <c r="L103" s="140">
        <f t="shared" si="47"/>
        <v>5726</v>
      </c>
      <c r="M103" s="140">
        <f t="shared" ref="M103" si="51">M86+M92+M95+M98</f>
        <v>5206</v>
      </c>
      <c r="N103" s="140">
        <f t="shared" si="47"/>
        <v>19381.203000000001</v>
      </c>
      <c r="O103" s="140">
        <f t="shared" ref="O103" si="52">O86+O92+O95+O98</f>
        <v>20101.203000000001</v>
      </c>
      <c r="P103" s="140">
        <f t="shared" si="47"/>
        <v>0</v>
      </c>
      <c r="Q103" s="140">
        <f t="shared" ref="Q103" si="53">Q86+Q92+Q95+Q98</f>
        <v>0</v>
      </c>
      <c r="R103" s="140">
        <f t="shared" si="47"/>
        <v>0</v>
      </c>
      <c r="S103" s="140">
        <f t="shared" ref="S103" si="54">S86+S92+S95+S98</f>
        <v>0</v>
      </c>
      <c r="T103" s="140">
        <f t="shared" si="47"/>
        <v>569054.88190000004</v>
      </c>
      <c r="U103" s="140">
        <f t="shared" ref="U103" si="55">U86+U92+U95+U98</f>
        <v>540533.88089999999</v>
      </c>
      <c r="V103" s="140">
        <f t="shared" si="47"/>
        <v>26741.1</v>
      </c>
      <c r="W103" s="140">
        <f t="shared" ref="W103" si="56">W86+W92+W95+W98</f>
        <v>79941.509000000005</v>
      </c>
      <c r="X103" s="140">
        <f t="shared" si="47"/>
        <v>31143.394999999997</v>
      </c>
      <c r="Y103" s="140">
        <f t="shared" ref="Y103" si="57">Y86+Y92+Y95+Y98</f>
        <v>35964.633000000002</v>
      </c>
      <c r="Z103" s="140">
        <f t="shared" si="47"/>
        <v>0</v>
      </c>
      <c r="AA103" s="140">
        <f t="shared" ref="AA103" si="58">AA86+AA92+AA95+AA98</f>
        <v>0</v>
      </c>
      <c r="AB103" s="140">
        <f>AB86+AB92+AB95+AB98</f>
        <v>871395.74890000001</v>
      </c>
      <c r="AC103" s="140">
        <f>AC86+AC92+AC95+AC98</f>
        <v>905306.37890000001</v>
      </c>
      <c r="AD103" s="140">
        <f t="shared" si="47"/>
        <v>77571.335999999996</v>
      </c>
      <c r="AE103" s="140">
        <f t="shared" ref="AE103" si="59">AE86+AE92+AE95+AE98</f>
        <v>77571.335999999996</v>
      </c>
      <c r="AF103" s="144"/>
      <c r="AG103" s="93"/>
      <c r="AH103" s="93"/>
      <c r="AI103" s="93"/>
    </row>
    <row r="104" spans="1:35" s="89" customFormat="1" x14ac:dyDescent="0.25">
      <c r="A104" s="64">
        <v>103</v>
      </c>
      <c r="B104" s="94"/>
      <c r="C104" s="94" t="s">
        <v>245</v>
      </c>
      <c r="D104" s="144">
        <f>SUM(D101:D103)</f>
        <v>351143.73000000004</v>
      </c>
      <c r="E104" s="144">
        <f>SUM(E101:E103)</f>
        <v>374316.33</v>
      </c>
      <c r="F104" s="144">
        <f t="shared" ref="F104:AD104" si="60">SUM(F101:F103)</f>
        <v>63075.248</v>
      </c>
      <c r="G104" s="144">
        <f t="shared" ref="G104" si="61">SUM(G101:G103)</f>
        <v>65833.281000000003</v>
      </c>
      <c r="H104" s="144">
        <f t="shared" si="60"/>
        <v>248725.177</v>
      </c>
      <c r="I104" s="144">
        <f t="shared" ref="I104" si="62">SUM(I101:I103)</f>
        <v>249468.33300000001</v>
      </c>
      <c r="J104" s="144">
        <f t="shared" si="60"/>
        <v>5300</v>
      </c>
      <c r="K104" s="144">
        <f t="shared" ref="K104" si="63">SUM(K101:K103)</f>
        <v>5300</v>
      </c>
      <c r="L104" s="144">
        <f t="shared" si="60"/>
        <v>21834.1</v>
      </c>
      <c r="M104" s="144">
        <f t="shared" ref="M104" si="64">SUM(M101:M103)</f>
        <v>21314.1</v>
      </c>
      <c r="N104" s="144">
        <f t="shared" si="60"/>
        <v>22284.203000000001</v>
      </c>
      <c r="O104" s="144">
        <f t="shared" ref="O104" si="65">SUM(O101:O103)</f>
        <v>23421.321000000004</v>
      </c>
      <c r="P104" s="144">
        <f t="shared" si="60"/>
        <v>1000</v>
      </c>
      <c r="Q104" s="144">
        <f t="shared" ref="Q104" si="66">SUM(Q101:Q103)</f>
        <v>1000</v>
      </c>
      <c r="R104" s="144">
        <f t="shared" si="60"/>
        <v>0</v>
      </c>
      <c r="S104" s="144">
        <f t="shared" ref="S104" si="67">SUM(S101:S103)</f>
        <v>0</v>
      </c>
      <c r="T104" s="144">
        <f t="shared" si="60"/>
        <v>575368.06190000009</v>
      </c>
      <c r="U104" s="144">
        <f t="shared" ref="U104" si="68">SUM(U101:U103)</f>
        <v>546847.06090000004</v>
      </c>
      <c r="V104" s="144">
        <f t="shared" si="60"/>
        <v>28041.8</v>
      </c>
      <c r="W104" s="144">
        <f t="shared" ref="W104" si="69">SUM(W101:W103)</f>
        <v>81242.209000000003</v>
      </c>
      <c r="X104" s="144">
        <f t="shared" si="60"/>
        <v>31143.394999999997</v>
      </c>
      <c r="Y104" s="144">
        <f t="shared" ref="Y104" si="70">SUM(Y101:Y103)</f>
        <v>35964.633000000002</v>
      </c>
      <c r="Z104" s="144">
        <f t="shared" si="60"/>
        <v>15351.323</v>
      </c>
      <c r="AA104" s="144">
        <f t="shared" ref="AA104" si="71">SUM(AA101:AA103)</f>
        <v>15351.323</v>
      </c>
      <c r="AB104" s="144">
        <f>SUM(AB101:AB103)</f>
        <v>1363267.0379000001</v>
      </c>
      <c r="AC104" s="144">
        <f>SUM(AC101:AC103)</f>
        <v>1420058.5909</v>
      </c>
      <c r="AD104" s="144">
        <f t="shared" si="60"/>
        <v>323543.43599999999</v>
      </c>
      <c r="AE104" s="350">
        <f t="shared" ref="AE104" si="72">SUM(AE101:AE103)</f>
        <v>326819.33600000001</v>
      </c>
      <c r="AF104" s="144"/>
      <c r="AG104" s="93"/>
      <c r="AH104" s="93"/>
      <c r="AI104" s="119"/>
    </row>
    <row r="105" spans="1:35" x14ac:dyDescent="0.25">
      <c r="AD105" s="200">
        <f>AB75+AD104</f>
        <v>1314005.9638999999</v>
      </c>
      <c r="AE105" s="200">
        <f>AC75+AE104</f>
        <v>1365638.3698999998</v>
      </c>
      <c r="AF105" s="95"/>
      <c r="AG105" s="95"/>
      <c r="AH105" s="95"/>
    </row>
    <row r="106" spans="1:35" x14ac:dyDescent="0.25">
      <c r="AF106" s="95"/>
      <c r="AG106" s="95"/>
      <c r="AH106" s="68">
        <v>13142</v>
      </c>
    </row>
    <row r="107" spans="1:35" x14ac:dyDescent="0.25">
      <c r="AF107" s="95"/>
      <c r="AG107" s="95"/>
      <c r="AH107" s="95"/>
    </row>
    <row r="110" spans="1:35" x14ac:dyDescent="0.25">
      <c r="T110" s="89"/>
      <c r="U110" s="89"/>
    </row>
  </sheetData>
  <mergeCells count="16">
    <mergeCell ref="C2:AF2"/>
    <mergeCell ref="X1:AD1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2"/>
  <sheetViews>
    <sheetView view="pageBreakPreview" topLeftCell="D1" zoomScaleNormal="100" zoomScaleSheetLayoutView="100" workbookViewId="0">
      <selection activeCell="O8" sqref="O8"/>
    </sheetView>
  </sheetViews>
  <sheetFormatPr defaultRowHeight="15" x14ac:dyDescent="0.25"/>
  <cols>
    <col min="1" max="1" width="6.28515625" style="253" customWidth="1"/>
    <col min="2" max="2" width="10.7109375" style="287" customWidth="1"/>
    <col min="3" max="3" width="40.7109375" style="253" customWidth="1"/>
    <col min="4" max="11" width="12.28515625" style="253" customWidth="1"/>
    <col min="12" max="13" width="10.85546875" style="253" customWidth="1"/>
    <col min="14" max="15" width="13.140625" style="253" customWidth="1"/>
    <col min="16" max="17" width="11.28515625" style="253" customWidth="1"/>
    <col min="18" max="19" width="10.140625" style="253" customWidth="1"/>
    <col min="20" max="21" width="10.85546875" style="253" customWidth="1"/>
    <col min="22" max="22" width="11.28515625" style="253" bestFit="1" customWidth="1"/>
    <col min="23" max="23" width="10.140625" style="253" hidden="1" customWidth="1"/>
    <col min="24" max="24" width="10.85546875" style="253" hidden="1" customWidth="1"/>
    <col min="25" max="25" width="12.42578125" style="253" bestFit="1" customWidth="1"/>
    <col min="26" max="16384" width="9.140625" style="253"/>
  </cols>
  <sheetData>
    <row r="1" spans="1:25" x14ac:dyDescent="0.25">
      <c r="N1" s="391" t="s">
        <v>434</v>
      </c>
      <c r="O1" s="391"/>
      <c r="P1" s="391"/>
      <c r="Q1" s="391"/>
      <c r="R1" s="391"/>
      <c r="S1" s="391"/>
      <c r="T1" s="391"/>
      <c r="U1" s="391"/>
      <c r="V1" s="391"/>
    </row>
    <row r="2" spans="1:25" ht="48" customHeight="1" x14ac:dyDescent="0.25">
      <c r="A2" s="254">
        <v>1</v>
      </c>
      <c r="B2" s="254"/>
      <c r="C2" s="416" t="s">
        <v>435</v>
      </c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Y2" s="266"/>
    </row>
    <row r="3" spans="1:25" ht="57.75" customHeight="1" x14ac:dyDescent="0.25">
      <c r="A3" s="254">
        <v>2</v>
      </c>
      <c r="B3" s="277" t="s">
        <v>289</v>
      </c>
      <c r="C3" s="288" t="s">
        <v>203</v>
      </c>
      <c r="D3" s="418" t="s">
        <v>90</v>
      </c>
      <c r="E3" s="419"/>
      <c r="F3" s="418" t="s">
        <v>270</v>
      </c>
      <c r="G3" s="419"/>
      <c r="H3" s="418" t="s">
        <v>92</v>
      </c>
      <c r="I3" s="419"/>
      <c r="J3" s="418" t="s">
        <v>271</v>
      </c>
      <c r="K3" s="419"/>
      <c r="L3" s="418" t="s">
        <v>94</v>
      </c>
      <c r="M3" s="419"/>
      <c r="N3" s="418" t="s">
        <v>108</v>
      </c>
      <c r="O3" s="419"/>
      <c r="P3" s="418" t="s">
        <v>111</v>
      </c>
      <c r="Q3" s="419"/>
      <c r="R3" s="418" t="s">
        <v>274</v>
      </c>
      <c r="S3" s="419"/>
      <c r="T3" s="418" t="s">
        <v>275</v>
      </c>
      <c r="U3" s="419"/>
      <c r="V3" s="420" t="s">
        <v>242</v>
      </c>
      <c r="W3" s="421"/>
      <c r="X3" s="421"/>
      <c r="Y3" s="422"/>
    </row>
    <row r="4" spans="1:25" ht="42.75" x14ac:dyDescent="0.25">
      <c r="A4" s="254">
        <v>3</v>
      </c>
      <c r="B4" s="277"/>
      <c r="C4" s="288" t="s">
        <v>250</v>
      </c>
      <c r="D4" s="258" t="s">
        <v>422</v>
      </c>
      <c r="E4" s="82" t="s">
        <v>417</v>
      </c>
      <c r="F4" s="258" t="s">
        <v>422</v>
      </c>
      <c r="G4" s="82" t="s">
        <v>417</v>
      </c>
      <c r="H4" s="258" t="s">
        <v>422</v>
      </c>
      <c r="I4" s="82" t="s">
        <v>417</v>
      </c>
      <c r="J4" s="258" t="s">
        <v>422</v>
      </c>
      <c r="K4" s="82" t="s">
        <v>417</v>
      </c>
      <c r="L4" s="258" t="s">
        <v>422</v>
      </c>
      <c r="M4" s="82" t="s">
        <v>417</v>
      </c>
      <c r="N4" s="258" t="s">
        <v>422</v>
      </c>
      <c r="O4" s="82" t="s">
        <v>417</v>
      </c>
      <c r="P4" s="258" t="s">
        <v>422</v>
      </c>
      <c r="Q4" s="82" t="s">
        <v>417</v>
      </c>
      <c r="R4" s="258" t="s">
        <v>422</v>
      </c>
      <c r="S4" s="82" t="s">
        <v>417</v>
      </c>
      <c r="T4" s="258" t="s">
        <v>422</v>
      </c>
      <c r="U4" s="82" t="s">
        <v>417</v>
      </c>
      <c r="V4" s="258" t="s">
        <v>422</v>
      </c>
      <c r="W4" s="82" t="s">
        <v>417</v>
      </c>
      <c r="X4" s="258" t="s">
        <v>422</v>
      </c>
      <c r="Y4" s="82" t="s">
        <v>417</v>
      </c>
    </row>
    <row r="5" spans="1:25" x14ac:dyDescent="0.25">
      <c r="A5" s="254">
        <v>4</v>
      </c>
      <c r="B5" s="254" t="s">
        <v>311</v>
      </c>
      <c r="C5" s="289" t="s">
        <v>305</v>
      </c>
      <c r="D5" s="273">
        <v>6161.8</v>
      </c>
      <c r="E5" s="273">
        <f>D5</f>
        <v>6161.8</v>
      </c>
      <c r="F5" s="273">
        <v>1246.2</v>
      </c>
      <c r="G5" s="273">
        <f>F5</f>
        <v>1246.2</v>
      </c>
      <c r="H5" s="273"/>
      <c r="I5" s="273"/>
      <c r="J5" s="280"/>
      <c r="K5" s="280"/>
      <c r="L5" s="271"/>
      <c r="M5" s="271"/>
      <c r="N5" s="271"/>
      <c r="O5" s="271"/>
      <c r="P5" s="271"/>
      <c r="Q5" s="271"/>
      <c r="R5" s="271"/>
      <c r="S5" s="271"/>
      <c r="T5" s="280"/>
      <c r="U5" s="280"/>
      <c r="V5" s="290">
        <f>D5+F5+H5+J5+L5+N5+P5+R5+T5</f>
        <v>7408</v>
      </c>
      <c r="W5" s="290">
        <f t="shared" ref="W5:X7" si="0">E5+G5+I5+K5+M5+O5+Q5+S5+U5</f>
        <v>7408</v>
      </c>
      <c r="X5" s="290">
        <f t="shared" si="0"/>
        <v>8654.2000000000007</v>
      </c>
      <c r="Y5" s="290">
        <f>E5+G5+I5+K5+M5+O5+Q5+S5+U5</f>
        <v>7408</v>
      </c>
    </row>
    <row r="6" spans="1:25" x14ac:dyDescent="0.25">
      <c r="A6" s="254"/>
      <c r="B6" s="254" t="s">
        <v>211</v>
      </c>
      <c r="C6" s="289" t="s">
        <v>386</v>
      </c>
      <c r="D6" s="273"/>
      <c r="E6" s="273"/>
      <c r="F6" s="273"/>
      <c r="G6" s="273"/>
      <c r="H6" s="273"/>
      <c r="I6" s="273"/>
      <c r="J6" s="280"/>
      <c r="K6" s="280"/>
      <c r="L6" s="271"/>
      <c r="M6" s="271"/>
      <c r="N6" s="271"/>
      <c r="O6" s="271"/>
      <c r="P6" s="271"/>
      <c r="Q6" s="271"/>
      <c r="R6" s="271"/>
      <c r="S6" s="271"/>
      <c r="T6" s="280"/>
      <c r="U6" s="280"/>
      <c r="V6" s="290">
        <f>D6+F6+H6+J6+L6+N6+P6+R6+T6</f>
        <v>0</v>
      </c>
      <c r="W6" s="290"/>
      <c r="X6" s="290"/>
      <c r="Y6" s="290">
        <f>E6+G6+I6+K6+M6+O6+Q6+S6+U6</f>
        <v>0</v>
      </c>
    </row>
    <row r="7" spans="1:25" s="345" customFormat="1" x14ac:dyDescent="0.25">
      <c r="A7" s="329">
        <v>5</v>
      </c>
      <c r="B7" s="329" t="s">
        <v>211</v>
      </c>
      <c r="C7" s="346" t="s">
        <v>251</v>
      </c>
      <c r="D7" s="331">
        <v>53568.2</v>
      </c>
      <c r="E7" s="331">
        <f>D7+2741.4</f>
        <v>56309.599999999999</v>
      </c>
      <c r="F7" s="331">
        <v>10553.8</v>
      </c>
      <c r="G7" s="331">
        <f>F7+534.5</f>
        <v>11088.3</v>
      </c>
      <c r="H7" s="331">
        <v>9460</v>
      </c>
      <c r="I7" s="331">
        <f>H7+632.497</f>
        <v>10092.496999999999</v>
      </c>
      <c r="J7" s="347"/>
      <c r="K7" s="347"/>
      <c r="L7" s="340"/>
      <c r="M7" s="340"/>
      <c r="N7" s="340">
        <v>149.4</v>
      </c>
      <c r="O7" s="340">
        <f>N7</f>
        <v>149.4</v>
      </c>
      <c r="P7" s="340"/>
      <c r="Q7" s="340"/>
      <c r="R7" s="340"/>
      <c r="S7" s="340"/>
      <c r="T7" s="347"/>
      <c r="U7" s="347"/>
      <c r="V7" s="348">
        <f>D7+F7+H7+J7+L7+N7+P7+R7+T7</f>
        <v>73731.399999999994</v>
      </c>
      <c r="W7" s="348">
        <f t="shared" si="0"/>
        <v>77639.796999999991</v>
      </c>
      <c r="X7" s="348">
        <f t="shared" si="0"/>
        <v>93894.599999999991</v>
      </c>
      <c r="Y7" s="348">
        <f>E7+G7+I7+K7+M7+O7+Q7+S7+U7</f>
        <v>77639.796999999991</v>
      </c>
    </row>
    <row r="8" spans="1:25" ht="15.75" x14ac:dyDescent="0.25">
      <c r="A8" s="254">
        <v>6</v>
      </c>
      <c r="B8" s="254"/>
      <c r="C8" s="288" t="s">
        <v>252</v>
      </c>
      <c r="D8" s="290">
        <f t="shared" ref="D8:V8" si="1">SUM(D5:D7)</f>
        <v>59730</v>
      </c>
      <c r="E8" s="290">
        <f t="shared" si="1"/>
        <v>62471.4</v>
      </c>
      <c r="F8" s="290">
        <f t="shared" si="1"/>
        <v>11800</v>
      </c>
      <c r="G8" s="290">
        <f t="shared" ref="G8" si="2">SUM(G5:G7)</f>
        <v>12334.5</v>
      </c>
      <c r="H8" s="290">
        <f t="shared" si="1"/>
        <v>9460</v>
      </c>
      <c r="I8" s="290">
        <f t="shared" ref="I8" si="3">SUM(I5:I7)</f>
        <v>10092.496999999999</v>
      </c>
      <c r="J8" s="290">
        <f t="shared" si="1"/>
        <v>0</v>
      </c>
      <c r="K8" s="290">
        <f t="shared" ref="K8" si="4">SUM(K5:K7)</f>
        <v>0</v>
      </c>
      <c r="L8" s="290">
        <f t="shared" si="1"/>
        <v>0</v>
      </c>
      <c r="M8" s="290">
        <f t="shared" ref="M8" si="5">SUM(M5:M7)</f>
        <v>0</v>
      </c>
      <c r="N8" s="290">
        <f t="shared" si="1"/>
        <v>149.4</v>
      </c>
      <c r="O8" s="290">
        <f t="shared" ref="O8" si="6">SUM(O5:O7)</f>
        <v>149.4</v>
      </c>
      <c r="P8" s="290">
        <f t="shared" si="1"/>
        <v>0</v>
      </c>
      <c r="Q8" s="290">
        <f t="shared" ref="Q8" si="7">SUM(Q5:Q7)</f>
        <v>0</v>
      </c>
      <c r="R8" s="290">
        <f t="shared" si="1"/>
        <v>0</v>
      </c>
      <c r="S8" s="290">
        <f t="shared" ref="S8" si="8">SUM(S5:S7)</f>
        <v>0</v>
      </c>
      <c r="T8" s="290">
        <f t="shared" si="1"/>
        <v>0</v>
      </c>
      <c r="U8" s="290">
        <f t="shared" ref="U8" si="9">SUM(U5:U7)</f>
        <v>0</v>
      </c>
      <c r="V8" s="290">
        <f t="shared" si="1"/>
        <v>81139.399999999994</v>
      </c>
      <c r="W8" s="290">
        <f t="shared" ref="W8:Y8" si="10">SUM(W5:W7)</f>
        <v>85047.796999999991</v>
      </c>
      <c r="X8" s="290">
        <f t="shared" si="10"/>
        <v>102548.79999999999</v>
      </c>
      <c r="Y8" s="290">
        <f t="shared" si="10"/>
        <v>85047.796999999991</v>
      </c>
    </row>
    <row r="9" spans="1:25" x14ac:dyDescent="0.25">
      <c r="A9" s="254">
        <v>7</v>
      </c>
      <c r="B9" s="254"/>
      <c r="C9" s="266" t="s">
        <v>238</v>
      </c>
      <c r="D9" s="265">
        <f t="shared" ref="D9:V9" si="11">SUMIF($B5:$B7,"kötelező",D5:D7)</f>
        <v>53568.2</v>
      </c>
      <c r="E9" s="265">
        <f t="shared" si="11"/>
        <v>56309.599999999999</v>
      </c>
      <c r="F9" s="265">
        <f t="shared" si="11"/>
        <v>10553.8</v>
      </c>
      <c r="G9" s="265">
        <f t="shared" ref="G9" si="12">SUMIF($B5:$B7,"kötelező",G5:G7)</f>
        <v>11088.3</v>
      </c>
      <c r="H9" s="265">
        <f t="shared" si="11"/>
        <v>9460</v>
      </c>
      <c r="I9" s="265">
        <f t="shared" ref="I9" si="13">SUMIF($B5:$B7,"kötelező",I5:I7)</f>
        <v>10092.496999999999</v>
      </c>
      <c r="J9" s="265">
        <f t="shared" si="11"/>
        <v>0</v>
      </c>
      <c r="K9" s="265">
        <f t="shared" ref="K9" si="14">SUMIF($B5:$B7,"kötelező",K5:K7)</f>
        <v>0</v>
      </c>
      <c r="L9" s="265">
        <f t="shared" si="11"/>
        <v>0</v>
      </c>
      <c r="M9" s="265">
        <f t="shared" ref="M9" si="15">SUMIF($B5:$B7,"kötelező",M5:M7)</f>
        <v>0</v>
      </c>
      <c r="N9" s="265">
        <f t="shared" si="11"/>
        <v>149.4</v>
      </c>
      <c r="O9" s="265">
        <f t="shared" ref="O9" si="16">SUMIF($B5:$B7,"kötelező",O5:O7)</f>
        <v>149.4</v>
      </c>
      <c r="P9" s="265">
        <f t="shared" si="11"/>
        <v>0</v>
      </c>
      <c r="Q9" s="265">
        <f t="shared" ref="Q9" si="17">SUMIF($B5:$B7,"kötelező",Q5:Q7)</f>
        <v>0</v>
      </c>
      <c r="R9" s="265">
        <f t="shared" si="11"/>
        <v>0</v>
      </c>
      <c r="S9" s="265">
        <f t="shared" ref="S9" si="18">SUMIF($B5:$B7,"kötelező",S5:S7)</f>
        <v>0</v>
      </c>
      <c r="T9" s="265">
        <f t="shared" si="11"/>
        <v>0</v>
      </c>
      <c r="U9" s="265">
        <f t="shared" ref="U9" si="19">SUMIF($B5:$B7,"kötelező",U5:U7)</f>
        <v>0</v>
      </c>
      <c r="V9" s="265">
        <f t="shared" si="11"/>
        <v>73731.399999999994</v>
      </c>
      <c r="W9" s="265">
        <f t="shared" ref="W9:Y9" si="20">SUMIF($B5:$B7,"kötelező",W5:W7)</f>
        <v>77639.796999999991</v>
      </c>
      <c r="X9" s="265">
        <f t="shared" si="20"/>
        <v>93894.599999999991</v>
      </c>
      <c r="Y9" s="265">
        <f t="shared" si="20"/>
        <v>77639.796999999991</v>
      </c>
    </row>
    <row r="10" spans="1:25" x14ac:dyDescent="0.25">
      <c r="A10" s="254">
        <v>8</v>
      </c>
      <c r="B10" s="254"/>
      <c r="C10" s="266" t="s">
        <v>305</v>
      </c>
      <c r="D10" s="265">
        <f>SUMIF($B5:$B7,"államigazg",D5:D7)</f>
        <v>6161.8</v>
      </c>
      <c r="E10" s="265">
        <f>SUMIF($B5:$B7,"államigazg",E5:E7)</f>
        <v>6161.8</v>
      </c>
      <c r="F10" s="265">
        <f t="shared" ref="F10:V10" si="21">SUMIF($B5:$B7,"államigazg",F5:F7)</f>
        <v>1246.2</v>
      </c>
      <c r="G10" s="265">
        <f t="shared" ref="G10" si="22">SUMIF($B5:$B7,"államigazg",G5:G7)</f>
        <v>1246.2</v>
      </c>
      <c r="H10" s="265">
        <f t="shared" si="21"/>
        <v>0</v>
      </c>
      <c r="I10" s="265">
        <f t="shared" ref="I10" si="23">SUMIF($B5:$B7,"államigazg",I5:I7)</f>
        <v>0</v>
      </c>
      <c r="J10" s="265">
        <f t="shared" si="21"/>
        <v>0</v>
      </c>
      <c r="K10" s="265">
        <f t="shared" ref="K10" si="24">SUMIF($B5:$B7,"államigazg",K5:K7)</f>
        <v>0</v>
      </c>
      <c r="L10" s="265">
        <f t="shared" si="21"/>
        <v>0</v>
      </c>
      <c r="M10" s="265">
        <f t="shared" ref="M10" si="25">SUMIF($B5:$B7,"államigazg",M5:M7)</f>
        <v>0</v>
      </c>
      <c r="N10" s="265">
        <f t="shared" si="21"/>
        <v>0</v>
      </c>
      <c r="O10" s="265">
        <f t="shared" ref="O10" si="26">SUMIF($B5:$B7,"államigazg",O5:O7)</f>
        <v>0</v>
      </c>
      <c r="P10" s="265">
        <f t="shared" si="21"/>
        <v>0</v>
      </c>
      <c r="Q10" s="265">
        <f t="shared" ref="Q10" si="27">SUMIF($B5:$B7,"államigazg",Q5:Q7)</f>
        <v>0</v>
      </c>
      <c r="R10" s="265">
        <f t="shared" si="21"/>
        <v>0</v>
      </c>
      <c r="S10" s="265">
        <f t="shared" ref="S10" si="28">SUMIF($B5:$B7,"államigazg",S5:S7)</f>
        <v>0</v>
      </c>
      <c r="T10" s="265">
        <f t="shared" si="21"/>
        <v>0</v>
      </c>
      <c r="U10" s="265">
        <f t="shared" ref="U10" si="29">SUMIF($B5:$B7,"államigazg",U5:U7)</f>
        <v>0</v>
      </c>
      <c r="V10" s="265">
        <f t="shared" si="21"/>
        <v>7408</v>
      </c>
      <c r="W10" s="265">
        <f t="shared" ref="W10:Y10" si="30">SUMIF($B5:$B7,"államigazg",W5:W7)</f>
        <v>7408</v>
      </c>
      <c r="X10" s="265">
        <f t="shared" si="30"/>
        <v>8654.2000000000007</v>
      </c>
      <c r="Y10" s="265">
        <f t="shared" si="30"/>
        <v>7408</v>
      </c>
    </row>
    <row r="11" spans="1:25" x14ac:dyDescent="0.25">
      <c r="A11" s="254">
        <v>9</v>
      </c>
      <c r="B11" s="254"/>
      <c r="C11" s="266" t="s">
        <v>291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91">
        <v>17</v>
      </c>
      <c r="W11" s="291">
        <v>17</v>
      </c>
      <c r="X11" s="291">
        <v>17</v>
      </c>
      <c r="Y11" s="291">
        <v>17</v>
      </c>
    </row>
    <row r="12" spans="1:25" x14ac:dyDescent="0.25">
      <c r="A12" s="254">
        <v>10</v>
      </c>
      <c r="B12" s="254"/>
      <c r="C12" s="266" t="s">
        <v>292</v>
      </c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>
        <v>0</v>
      </c>
      <c r="W12" s="266">
        <v>0</v>
      </c>
      <c r="X12" s="266">
        <v>0</v>
      </c>
      <c r="Y12" s="266">
        <v>0</v>
      </c>
    </row>
  </sheetData>
  <mergeCells count="12">
    <mergeCell ref="C2:V2"/>
    <mergeCell ref="N1:V1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Y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9"/>
  <sheetViews>
    <sheetView view="pageBreakPreview" topLeftCell="E1" zoomScaleNormal="100" zoomScaleSheetLayoutView="100" workbookViewId="0">
      <selection activeCell="O13" sqref="O13:O14"/>
    </sheetView>
  </sheetViews>
  <sheetFormatPr defaultRowHeight="15" x14ac:dyDescent="0.25"/>
  <cols>
    <col min="1" max="1" width="5.5703125" style="68" customWidth="1"/>
    <col min="2" max="2" width="14" style="292" customWidth="1"/>
    <col min="3" max="3" width="29.28515625" style="68" customWidth="1"/>
    <col min="4" max="13" width="12.28515625" style="68" customWidth="1"/>
    <col min="14" max="15" width="14.28515625" style="68" customWidth="1"/>
    <col min="16" max="22" width="12.28515625" style="68" customWidth="1"/>
    <col min="23" max="23" width="11.85546875" style="95" hidden="1" customWidth="1"/>
    <col min="24" max="24" width="12" style="68" hidden="1" customWidth="1"/>
    <col min="25" max="25" width="12.42578125" style="89" bestFit="1" customWidth="1"/>
    <col min="26" max="16384" width="9.140625" style="68"/>
  </cols>
  <sheetData>
    <row r="1" spans="1:25" x14ac:dyDescent="0.25">
      <c r="P1" s="423" t="s">
        <v>436</v>
      </c>
      <c r="Q1" s="423"/>
      <c r="R1" s="423"/>
      <c r="S1" s="423"/>
      <c r="T1" s="423"/>
      <c r="U1" s="423"/>
      <c r="V1" s="423"/>
    </row>
    <row r="2" spans="1:25" ht="54" customHeight="1" x14ac:dyDescent="0.25">
      <c r="A2" s="64">
        <v>1</v>
      </c>
      <c r="B2" s="293"/>
      <c r="C2" s="424" t="s">
        <v>437</v>
      </c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6"/>
    </row>
    <row r="3" spans="1:25" ht="30" x14ac:dyDescent="0.25">
      <c r="A3" s="64">
        <v>2</v>
      </c>
      <c r="B3" s="80" t="s">
        <v>257</v>
      </c>
      <c r="C3" s="81" t="s">
        <v>203</v>
      </c>
      <c r="D3" s="418" t="s">
        <v>90</v>
      </c>
      <c r="E3" s="419"/>
      <c r="F3" s="418" t="s">
        <v>270</v>
      </c>
      <c r="G3" s="419"/>
      <c r="H3" s="418" t="s">
        <v>92</v>
      </c>
      <c r="I3" s="419"/>
      <c r="J3" s="418" t="s">
        <v>271</v>
      </c>
      <c r="K3" s="419"/>
      <c r="L3" s="418" t="s">
        <v>310</v>
      </c>
      <c r="M3" s="419"/>
      <c r="N3" s="418" t="s">
        <v>108</v>
      </c>
      <c r="O3" s="419"/>
      <c r="P3" s="418" t="s">
        <v>111</v>
      </c>
      <c r="Q3" s="419"/>
      <c r="R3" s="418" t="s">
        <v>274</v>
      </c>
      <c r="S3" s="419"/>
      <c r="T3" s="418" t="s">
        <v>290</v>
      </c>
      <c r="U3" s="419"/>
      <c r="V3" s="427" t="s">
        <v>242</v>
      </c>
      <c r="W3" s="427"/>
      <c r="X3" s="427"/>
      <c r="Y3" s="427"/>
    </row>
    <row r="4" spans="1:25" ht="28.5" x14ac:dyDescent="0.25">
      <c r="A4" s="64">
        <v>3</v>
      </c>
      <c r="B4" s="293"/>
      <c r="C4" s="81" t="s">
        <v>250</v>
      </c>
      <c r="D4" s="258" t="s">
        <v>422</v>
      </c>
      <c r="E4" s="82" t="s">
        <v>417</v>
      </c>
      <c r="F4" s="258" t="s">
        <v>422</v>
      </c>
      <c r="G4" s="82" t="s">
        <v>417</v>
      </c>
      <c r="H4" s="258" t="s">
        <v>422</v>
      </c>
      <c r="I4" s="82" t="s">
        <v>417</v>
      </c>
      <c r="J4" s="258" t="s">
        <v>422</v>
      </c>
      <c r="K4" s="82" t="s">
        <v>417</v>
      </c>
      <c r="L4" s="258" t="s">
        <v>422</v>
      </c>
      <c r="M4" s="82" t="s">
        <v>417</v>
      </c>
      <c r="N4" s="258" t="s">
        <v>422</v>
      </c>
      <c r="O4" s="82" t="s">
        <v>417</v>
      </c>
      <c r="P4" s="258" t="s">
        <v>422</v>
      </c>
      <c r="Q4" s="82" t="s">
        <v>417</v>
      </c>
      <c r="R4" s="258" t="s">
        <v>422</v>
      </c>
      <c r="S4" s="82" t="s">
        <v>417</v>
      </c>
      <c r="T4" s="258" t="s">
        <v>422</v>
      </c>
      <c r="U4" s="82" t="s">
        <v>417</v>
      </c>
      <c r="V4" s="258" t="s">
        <v>422</v>
      </c>
      <c r="W4" s="82" t="s">
        <v>417</v>
      </c>
      <c r="X4" s="258" t="s">
        <v>422</v>
      </c>
      <c r="Y4" s="82" t="s">
        <v>417</v>
      </c>
    </row>
    <row r="5" spans="1:25" x14ac:dyDescent="0.25">
      <c r="A5" s="64">
        <v>4</v>
      </c>
      <c r="B5" s="293" t="s">
        <v>211</v>
      </c>
      <c r="C5" s="65" t="s">
        <v>258</v>
      </c>
      <c r="D5" s="138">
        <v>120</v>
      </c>
      <c r="E5" s="138">
        <f>D5</f>
        <v>120</v>
      </c>
      <c r="F5" s="138">
        <v>34</v>
      </c>
      <c r="G5" s="138">
        <f>F5</f>
        <v>34</v>
      </c>
      <c r="H5" s="273">
        <v>455</v>
      </c>
      <c r="I5" s="273">
        <f>H5</f>
        <v>455</v>
      </c>
      <c r="J5" s="138"/>
      <c r="K5" s="138"/>
      <c r="L5" s="138"/>
      <c r="M5" s="138"/>
      <c r="N5" s="138">
        <v>1740</v>
      </c>
      <c r="O5" s="138">
        <f>N5</f>
        <v>1740</v>
      </c>
      <c r="P5" s="138"/>
      <c r="Q5" s="138"/>
      <c r="R5" s="138"/>
      <c r="S5" s="138"/>
      <c r="T5" s="138"/>
      <c r="U5" s="138"/>
      <c r="V5" s="135">
        <f>T5+R5+P5+N5+L5+J5+H5+F5+D5</f>
        <v>2349</v>
      </c>
      <c r="W5" s="294">
        <v>11317</v>
      </c>
      <c r="X5" s="295">
        <v>10318</v>
      </c>
      <c r="Y5" s="144">
        <f>E5+G5+I5+K5+M5+O5+Q5+S5+U5</f>
        <v>2349</v>
      </c>
    </row>
    <row r="6" spans="1:25" x14ac:dyDescent="0.25">
      <c r="A6" s="64">
        <v>6</v>
      </c>
      <c r="B6" s="293" t="s">
        <v>211</v>
      </c>
      <c r="C6" s="65" t="s">
        <v>259</v>
      </c>
      <c r="D6" s="138"/>
      <c r="E6" s="138">
        <f t="shared" ref="E6:E14" si="0">D6</f>
        <v>0</v>
      </c>
      <c r="F6" s="138">
        <v>1.5</v>
      </c>
      <c r="G6" s="138">
        <f t="shared" ref="G6:G14" si="1">F6</f>
        <v>1.5</v>
      </c>
      <c r="H6" s="138">
        <v>270</v>
      </c>
      <c r="I6" s="273">
        <f t="shared" ref="I6:I14" si="2">H6</f>
        <v>270</v>
      </c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5">
        <f t="shared" ref="V6:V14" si="3">T6+R6+P6+N6+L6+J6+H6+F6+D6</f>
        <v>271.5</v>
      </c>
      <c r="W6" s="294">
        <v>173</v>
      </c>
      <c r="X6" s="295">
        <v>211</v>
      </c>
      <c r="Y6" s="144">
        <f t="shared" ref="Y6:Y14" si="4">E6+G6+I6+K6+M6+O6+Q6+S6+U6</f>
        <v>271.5</v>
      </c>
    </row>
    <row r="7" spans="1:25" x14ac:dyDescent="0.25">
      <c r="A7" s="64">
        <v>7</v>
      </c>
      <c r="B7" s="293" t="s">
        <v>215</v>
      </c>
      <c r="C7" s="65" t="s">
        <v>260</v>
      </c>
      <c r="D7" s="138">
        <v>696</v>
      </c>
      <c r="E7" s="138">
        <f t="shared" si="0"/>
        <v>696</v>
      </c>
      <c r="F7" s="138">
        <v>122.5</v>
      </c>
      <c r="G7" s="138">
        <f t="shared" si="1"/>
        <v>122.5</v>
      </c>
      <c r="H7" s="138">
        <v>240</v>
      </c>
      <c r="I7" s="273">
        <f t="shared" si="2"/>
        <v>240</v>
      </c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5">
        <f t="shared" si="3"/>
        <v>1058.5</v>
      </c>
      <c r="W7" s="294">
        <v>3044</v>
      </c>
      <c r="X7" s="295">
        <v>2528</v>
      </c>
      <c r="Y7" s="144">
        <f t="shared" si="4"/>
        <v>1058.5</v>
      </c>
    </row>
    <row r="8" spans="1:25" x14ac:dyDescent="0.25">
      <c r="A8" s="64">
        <v>8</v>
      </c>
      <c r="B8" s="293" t="s">
        <v>211</v>
      </c>
      <c r="C8" s="65" t="s">
        <v>261</v>
      </c>
      <c r="D8" s="138">
        <v>7096.8</v>
      </c>
      <c r="E8" s="138">
        <f t="shared" si="0"/>
        <v>7096.8</v>
      </c>
      <c r="F8" s="138">
        <v>1340</v>
      </c>
      <c r="G8" s="138">
        <f t="shared" si="1"/>
        <v>1340</v>
      </c>
      <c r="H8" s="138">
        <v>1728</v>
      </c>
      <c r="I8" s="273">
        <f t="shared" si="2"/>
        <v>1728</v>
      </c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5">
        <f t="shared" si="3"/>
        <v>10164.799999999999</v>
      </c>
      <c r="W8" s="294">
        <v>6614</v>
      </c>
      <c r="X8" s="295">
        <v>6801</v>
      </c>
      <c r="Y8" s="144">
        <f t="shared" si="4"/>
        <v>10164.799999999999</v>
      </c>
    </row>
    <row r="9" spans="1:25" x14ac:dyDescent="0.25">
      <c r="A9" s="64">
        <v>9</v>
      </c>
      <c r="B9" s="293" t="s">
        <v>211</v>
      </c>
      <c r="C9" s="65" t="s">
        <v>262</v>
      </c>
      <c r="D9" s="138"/>
      <c r="E9" s="138">
        <f t="shared" si="0"/>
        <v>0</v>
      </c>
      <c r="F9" s="138"/>
      <c r="G9" s="138">
        <f t="shared" si="1"/>
        <v>0</v>
      </c>
      <c r="H9" s="138">
        <v>600</v>
      </c>
      <c r="I9" s="273">
        <f t="shared" si="2"/>
        <v>600</v>
      </c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5">
        <f t="shared" si="3"/>
        <v>600</v>
      </c>
      <c r="W9" s="294">
        <v>480</v>
      </c>
      <c r="X9" s="295">
        <v>480</v>
      </c>
      <c r="Y9" s="144">
        <f t="shared" si="4"/>
        <v>600</v>
      </c>
    </row>
    <row r="10" spans="1:25" s="325" customFormat="1" x14ac:dyDescent="0.25">
      <c r="A10" s="317">
        <v>10</v>
      </c>
      <c r="B10" s="336" t="s">
        <v>215</v>
      </c>
      <c r="C10" s="326" t="s">
        <v>293</v>
      </c>
      <c r="D10" s="327">
        <v>52668</v>
      </c>
      <c r="E10" s="138">
        <f t="shared" si="0"/>
        <v>52668</v>
      </c>
      <c r="F10" s="327">
        <v>10167.5</v>
      </c>
      <c r="G10" s="138">
        <f t="shared" si="1"/>
        <v>10167.5</v>
      </c>
      <c r="H10" s="327">
        <v>24850</v>
      </c>
      <c r="I10" s="273">
        <f t="shared" si="2"/>
        <v>24850</v>
      </c>
      <c r="J10" s="327"/>
      <c r="K10" s="327"/>
      <c r="L10" s="327"/>
      <c r="M10" s="327"/>
      <c r="N10" s="327">
        <v>300</v>
      </c>
      <c r="O10" s="327">
        <f>N10+316.666</f>
        <v>616.66599999999994</v>
      </c>
      <c r="P10" s="327"/>
      <c r="Q10" s="327"/>
      <c r="R10" s="327"/>
      <c r="S10" s="327"/>
      <c r="T10" s="327"/>
      <c r="U10" s="327"/>
      <c r="V10" s="322">
        <f t="shared" si="3"/>
        <v>87985.5</v>
      </c>
      <c r="W10" s="337">
        <v>63126</v>
      </c>
      <c r="X10" s="338">
        <f>58896+3200</f>
        <v>62096</v>
      </c>
      <c r="Y10" s="339">
        <f t="shared" si="4"/>
        <v>88302.165999999997</v>
      </c>
    </row>
    <row r="11" spans="1:25" x14ac:dyDescent="0.25">
      <c r="A11" s="64">
        <v>11</v>
      </c>
      <c r="B11" s="293" t="s">
        <v>211</v>
      </c>
      <c r="C11" s="65" t="s">
        <v>264</v>
      </c>
      <c r="D11" s="138">
        <v>7176.1</v>
      </c>
      <c r="E11" s="138">
        <f t="shared" si="0"/>
        <v>7176.1</v>
      </c>
      <c r="F11" s="138">
        <v>1388</v>
      </c>
      <c r="G11" s="138">
        <f t="shared" si="1"/>
        <v>1388</v>
      </c>
      <c r="H11" s="138">
        <v>2800</v>
      </c>
      <c r="I11" s="273">
        <f t="shared" si="2"/>
        <v>2800</v>
      </c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5">
        <f t="shared" si="3"/>
        <v>11364.1</v>
      </c>
      <c r="W11" s="294">
        <v>9158</v>
      </c>
      <c r="X11" s="295">
        <v>8953</v>
      </c>
      <c r="Y11" s="144">
        <f t="shared" si="4"/>
        <v>11364.1</v>
      </c>
    </row>
    <row r="12" spans="1:25" x14ac:dyDescent="0.25">
      <c r="A12" s="64">
        <v>12</v>
      </c>
      <c r="B12" s="293" t="s">
        <v>211</v>
      </c>
      <c r="C12" s="65" t="s">
        <v>345</v>
      </c>
      <c r="D12" s="138">
        <v>7413</v>
      </c>
      <c r="E12" s="138">
        <f t="shared" si="0"/>
        <v>7413</v>
      </c>
      <c r="F12" s="138">
        <v>1410</v>
      </c>
      <c r="G12" s="138">
        <f t="shared" si="1"/>
        <v>1410</v>
      </c>
      <c r="H12" s="138">
        <v>600</v>
      </c>
      <c r="I12" s="273">
        <f t="shared" si="2"/>
        <v>600</v>
      </c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5">
        <f t="shared" si="3"/>
        <v>9423</v>
      </c>
      <c r="W12" s="294">
        <v>2424</v>
      </c>
      <c r="X12" s="295">
        <v>2678</v>
      </c>
      <c r="Y12" s="144">
        <f t="shared" si="4"/>
        <v>9423</v>
      </c>
    </row>
    <row r="13" spans="1:25" x14ac:dyDescent="0.25">
      <c r="A13" s="64">
        <v>13</v>
      </c>
      <c r="B13" s="293" t="s">
        <v>211</v>
      </c>
      <c r="C13" s="65" t="s">
        <v>265</v>
      </c>
      <c r="D13" s="138">
        <v>3757</v>
      </c>
      <c r="E13" s="138">
        <f t="shared" si="0"/>
        <v>3757</v>
      </c>
      <c r="F13" s="138">
        <v>733</v>
      </c>
      <c r="G13" s="138">
        <f t="shared" si="1"/>
        <v>733</v>
      </c>
      <c r="H13" s="138">
        <v>6705</v>
      </c>
      <c r="I13" s="273">
        <f t="shared" si="2"/>
        <v>6705</v>
      </c>
      <c r="J13" s="138"/>
      <c r="K13" s="138"/>
      <c r="L13" s="138"/>
      <c r="M13" s="138"/>
      <c r="N13" s="138">
        <v>140</v>
      </c>
      <c r="O13" s="138">
        <f>N13</f>
        <v>140</v>
      </c>
      <c r="P13" s="138"/>
      <c r="Q13" s="138"/>
      <c r="R13" s="138"/>
      <c r="S13" s="138"/>
      <c r="T13" s="138"/>
      <c r="U13" s="138"/>
      <c r="V13" s="135">
        <f t="shared" si="3"/>
        <v>11335</v>
      </c>
      <c r="W13" s="294">
        <v>15074</v>
      </c>
      <c r="X13" s="295">
        <v>15183</v>
      </c>
      <c r="Y13" s="144">
        <f t="shared" si="4"/>
        <v>11335</v>
      </c>
    </row>
    <row r="14" spans="1:25" x14ac:dyDescent="0.25">
      <c r="A14" s="64">
        <v>14</v>
      </c>
      <c r="B14" s="293" t="s">
        <v>211</v>
      </c>
      <c r="C14" s="65" t="s">
        <v>266</v>
      </c>
      <c r="D14" s="138">
        <v>8592</v>
      </c>
      <c r="E14" s="138">
        <f t="shared" si="0"/>
        <v>8592</v>
      </c>
      <c r="F14" s="138">
        <v>1662</v>
      </c>
      <c r="G14" s="138">
        <f t="shared" si="1"/>
        <v>1662</v>
      </c>
      <c r="H14" s="138">
        <v>205</v>
      </c>
      <c r="I14" s="273">
        <f t="shared" si="2"/>
        <v>205</v>
      </c>
      <c r="J14" s="138"/>
      <c r="K14" s="138"/>
      <c r="L14" s="138"/>
      <c r="M14" s="138"/>
      <c r="N14" s="138">
        <v>280</v>
      </c>
      <c r="O14" s="138">
        <f>N14</f>
        <v>280</v>
      </c>
      <c r="P14" s="138"/>
      <c r="Q14" s="138"/>
      <c r="R14" s="138"/>
      <c r="S14" s="138"/>
      <c r="T14" s="138"/>
      <c r="U14" s="138"/>
      <c r="V14" s="135">
        <f t="shared" si="3"/>
        <v>10739</v>
      </c>
      <c r="W14" s="294">
        <v>6981</v>
      </c>
      <c r="X14" s="295">
        <v>7395</v>
      </c>
      <c r="Y14" s="144">
        <f t="shared" si="4"/>
        <v>10739</v>
      </c>
    </row>
    <row r="15" spans="1:25" x14ac:dyDescent="0.25">
      <c r="A15" s="64">
        <v>18</v>
      </c>
      <c r="B15" s="293"/>
      <c r="C15" s="296" t="s">
        <v>252</v>
      </c>
      <c r="D15" s="135">
        <f t="shared" ref="D15:Y15" si="5">SUM(D5:D14)</f>
        <v>87518.900000000009</v>
      </c>
      <c r="E15" s="135">
        <f t="shared" si="5"/>
        <v>87518.900000000009</v>
      </c>
      <c r="F15" s="135">
        <f t="shared" si="5"/>
        <v>16858.5</v>
      </c>
      <c r="G15" s="135">
        <f t="shared" si="5"/>
        <v>16858.5</v>
      </c>
      <c r="H15" s="135">
        <f t="shared" si="5"/>
        <v>38453</v>
      </c>
      <c r="I15" s="135">
        <f t="shared" si="5"/>
        <v>38453</v>
      </c>
      <c r="J15" s="135">
        <f t="shared" si="5"/>
        <v>0</v>
      </c>
      <c r="K15" s="135">
        <f t="shared" si="5"/>
        <v>0</v>
      </c>
      <c r="L15" s="135">
        <f t="shared" si="5"/>
        <v>0</v>
      </c>
      <c r="M15" s="135">
        <f t="shared" si="5"/>
        <v>0</v>
      </c>
      <c r="N15" s="135">
        <f t="shared" si="5"/>
        <v>2460</v>
      </c>
      <c r="O15" s="135">
        <f t="shared" si="5"/>
        <v>2776.6660000000002</v>
      </c>
      <c r="P15" s="135">
        <f t="shared" si="5"/>
        <v>0</v>
      </c>
      <c r="Q15" s="135">
        <f t="shared" si="5"/>
        <v>0</v>
      </c>
      <c r="R15" s="135">
        <f t="shared" si="5"/>
        <v>0</v>
      </c>
      <c r="S15" s="135">
        <f t="shared" si="5"/>
        <v>0</v>
      </c>
      <c r="T15" s="135">
        <f t="shared" si="5"/>
        <v>0</v>
      </c>
      <c r="U15" s="135">
        <f t="shared" si="5"/>
        <v>0</v>
      </c>
      <c r="V15" s="135">
        <f t="shared" si="5"/>
        <v>145290.40000000002</v>
      </c>
      <c r="W15" s="135">
        <f t="shared" si="5"/>
        <v>118391</v>
      </c>
      <c r="X15" s="135">
        <f t="shared" si="5"/>
        <v>116643</v>
      </c>
      <c r="Y15" s="135">
        <f t="shared" si="5"/>
        <v>145607.06599999999</v>
      </c>
    </row>
    <row r="16" spans="1:25" x14ac:dyDescent="0.25">
      <c r="A16" s="64">
        <v>19</v>
      </c>
      <c r="B16" s="293"/>
      <c r="C16" s="85" t="s">
        <v>238</v>
      </c>
      <c r="D16" s="140">
        <f t="shared" ref="D16:Y16" si="6">SUMIF($B5:$B14,"kötelező",D5:D14)</f>
        <v>34154.9</v>
      </c>
      <c r="E16" s="140">
        <f t="shared" si="6"/>
        <v>34154.9</v>
      </c>
      <c r="F16" s="140">
        <f t="shared" si="6"/>
        <v>6568.5</v>
      </c>
      <c r="G16" s="140">
        <f t="shared" si="6"/>
        <v>6568.5</v>
      </c>
      <c r="H16" s="140">
        <f t="shared" si="6"/>
        <v>13363</v>
      </c>
      <c r="I16" s="140">
        <f t="shared" si="6"/>
        <v>13363</v>
      </c>
      <c r="J16" s="140">
        <f t="shared" si="6"/>
        <v>0</v>
      </c>
      <c r="K16" s="140">
        <f t="shared" si="6"/>
        <v>0</v>
      </c>
      <c r="L16" s="140">
        <f t="shared" si="6"/>
        <v>0</v>
      </c>
      <c r="M16" s="140">
        <f t="shared" si="6"/>
        <v>0</v>
      </c>
      <c r="N16" s="140">
        <f t="shared" si="6"/>
        <v>2160</v>
      </c>
      <c r="O16" s="140">
        <f t="shared" si="6"/>
        <v>2160</v>
      </c>
      <c r="P16" s="140">
        <f t="shared" si="6"/>
        <v>0</v>
      </c>
      <c r="Q16" s="140">
        <f t="shared" si="6"/>
        <v>0</v>
      </c>
      <c r="R16" s="140">
        <f t="shared" si="6"/>
        <v>0</v>
      </c>
      <c r="S16" s="140">
        <f t="shared" si="6"/>
        <v>0</v>
      </c>
      <c r="T16" s="140">
        <f t="shared" si="6"/>
        <v>0</v>
      </c>
      <c r="U16" s="140">
        <f t="shared" si="6"/>
        <v>0</v>
      </c>
      <c r="V16" s="140">
        <f t="shared" si="6"/>
        <v>56246.400000000001</v>
      </c>
      <c r="W16" s="140">
        <f t="shared" si="6"/>
        <v>52221</v>
      </c>
      <c r="X16" s="140">
        <f t="shared" si="6"/>
        <v>52019</v>
      </c>
      <c r="Y16" s="140">
        <f t="shared" si="6"/>
        <v>56246.400000000001</v>
      </c>
    </row>
    <row r="17" spans="1:25" x14ac:dyDescent="0.25">
      <c r="A17" s="64">
        <v>20</v>
      </c>
      <c r="B17" s="293"/>
      <c r="C17" s="85" t="s">
        <v>239</v>
      </c>
      <c r="D17" s="140">
        <f t="shared" ref="D17:Y17" si="7">SUMIF($B5:$B14,"nem kötelező",D5:D14)</f>
        <v>53364</v>
      </c>
      <c r="E17" s="140">
        <f t="shared" si="7"/>
        <v>53364</v>
      </c>
      <c r="F17" s="140">
        <f t="shared" si="7"/>
        <v>10290</v>
      </c>
      <c r="G17" s="140">
        <f t="shared" si="7"/>
        <v>10290</v>
      </c>
      <c r="H17" s="140">
        <f t="shared" si="7"/>
        <v>25090</v>
      </c>
      <c r="I17" s="140">
        <f t="shared" si="7"/>
        <v>25090</v>
      </c>
      <c r="J17" s="140">
        <f t="shared" si="7"/>
        <v>0</v>
      </c>
      <c r="K17" s="140">
        <f t="shared" si="7"/>
        <v>0</v>
      </c>
      <c r="L17" s="140">
        <f t="shared" si="7"/>
        <v>0</v>
      </c>
      <c r="M17" s="140">
        <f t="shared" si="7"/>
        <v>0</v>
      </c>
      <c r="N17" s="140">
        <f t="shared" si="7"/>
        <v>300</v>
      </c>
      <c r="O17" s="140">
        <f t="shared" si="7"/>
        <v>616.66599999999994</v>
      </c>
      <c r="P17" s="140">
        <f t="shared" si="7"/>
        <v>0</v>
      </c>
      <c r="Q17" s="140">
        <f t="shared" si="7"/>
        <v>0</v>
      </c>
      <c r="R17" s="140">
        <f t="shared" si="7"/>
        <v>0</v>
      </c>
      <c r="S17" s="140">
        <f t="shared" si="7"/>
        <v>0</v>
      </c>
      <c r="T17" s="140">
        <f t="shared" si="7"/>
        <v>0</v>
      </c>
      <c r="U17" s="140">
        <f t="shared" si="7"/>
        <v>0</v>
      </c>
      <c r="V17" s="140">
        <f t="shared" si="7"/>
        <v>89044</v>
      </c>
      <c r="W17" s="140">
        <f t="shared" si="7"/>
        <v>66170</v>
      </c>
      <c r="X17" s="140">
        <f t="shared" si="7"/>
        <v>64624</v>
      </c>
      <c r="Y17" s="140">
        <f t="shared" si="7"/>
        <v>89360.665999999997</v>
      </c>
    </row>
    <row r="18" spans="1:25" x14ac:dyDescent="0.25">
      <c r="A18" s="64">
        <v>21</v>
      </c>
      <c r="B18" s="293"/>
      <c r="C18" s="85" t="s">
        <v>294</v>
      </c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157">
        <v>31</v>
      </c>
      <c r="W18" s="157">
        <v>30</v>
      </c>
      <c r="X18" s="157">
        <v>30</v>
      </c>
      <c r="Y18" s="157">
        <v>31</v>
      </c>
    </row>
    <row r="19" spans="1:25" x14ac:dyDescent="0.25">
      <c r="A19" s="64">
        <v>22</v>
      </c>
      <c r="B19" s="293"/>
      <c r="C19" s="85" t="s">
        <v>292</v>
      </c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>
        <v>0</v>
      </c>
      <c r="W19" s="294">
        <v>0</v>
      </c>
      <c r="X19" s="294">
        <v>0</v>
      </c>
      <c r="Y19" s="294">
        <v>0</v>
      </c>
    </row>
  </sheetData>
  <mergeCells count="12">
    <mergeCell ref="P1:V1"/>
    <mergeCell ref="C2:Y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Y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0"/>
  <sheetViews>
    <sheetView tabSelected="1" view="pageBreakPreview" topLeftCell="D1" zoomScaleNormal="100" zoomScaleSheetLayoutView="100" workbookViewId="0">
      <selection activeCell="O6" sqref="O6"/>
    </sheetView>
  </sheetViews>
  <sheetFormatPr defaultRowHeight="15" x14ac:dyDescent="0.25"/>
  <cols>
    <col min="1" max="1" width="9.140625" style="68"/>
    <col min="2" max="2" width="14" style="292" customWidth="1"/>
    <col min="3" max="3" width="29.42578125" style="68" bestFit="1" customWidth="1"/>
    <col min="4" max="13" width="12.7109375" style="68" customWidth="1"/>
    <col min="14" max="15" width="14.42578125" style="68" customWidth="1"/>
    <col min="16" max="22" width="12.7109375" style="68" customWidth="1"/>
    <col min="23" max="23" width="0" style="68" hidden="1" customWidth="1"/>
    <col min="24" max="24" width="11.28515625" style="68" hidden="1" customWidth="1"/>
    <col min="25" max="25" width="11.28515625" style="68" bestFit="1" customWidth="1"/>
    <col min="26" max="16384" width="9.140625" style="68"/>
  </cols>
  <sheetData>
    <row r="1" spans="1:25" x14ac:dyDescent="0.25">
      <c r="P1" s="423" t="s">
        <v>438</v>
      </c>
      <c r="Q1" s="423"/>
      <c r="R1" s="423"/>
      <c r="S1" s="423"/>
      <c r="T1" s="423"/>
      <c r="U1" s="423"/>
      <c r="V1" s="423"/>
    </row>
    <row r="2" spans="1:25" ht="42" customHeight="1" x14ac:dyDescent="0.25">
      <c r="A2" s="64">
        <v>1</v>
      </c>
      <c r="B2" s="293"/>
      <c r="C2" s="424" t="s">
        <v>439</v>
      </c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6"/>
    </row>
    <row r="3" spans="1:25" ht="56.25" customHeight="1" x14ac:dyDescent="0.25">
      <c r="A3" s="64">
        <v>2</v>
      </c>
      <c r="B3" s="80" t="s">
        <v>257</v>
      </c>
      <c r="C3" s="81" t="s">
        <v>203</v>
      </c>
      <c r="D3" s="418" t="s">
        <v>90</v>
      </c>
      <c r="E3" s="419"/>
      <c r="F3" s="418" t="s">
        <v>270</v>
      </c>
      <c r="G3" s="419"/>
      <c r="H3" s="418" t="s">
        <v>92</v>
      </c>
      <c r="I3" s="419"/>
      <c r="J3" s="418" t="s">
        <v>271</v>
      </c>
      <c r="K3" s="419"/>
      <c r="L3" s="418" t="s">
        <v>94</v>
      </c>
      <c r="M3" s="419"/>
      <c r="N3" s="418" t="s">
        <v>108</v>
      </c>
      <c r="O3" s="419"/>
      <c r="P3" s="418" t="s">
        <v>111</v>
      </c>
      <c r="Q3" s="419"/>
      <c r="R3" s="418" t="s">
        <v>274</v>
      </c>
      <c r="S3" s="419"/>
      <c r="T3" s="418" t="s">
        <v>290</v>
      </c>
      <c r="U3" s="419"/>
      <c r="V3" s="427" t="s">
        <v>242</v>
      </c>
      <c r="W3" s="427"/>
      <c r="X3" s="427"/>
      <c r="Y3" s="427"/>
    </row>
    <row r="4" spans="1:25" ht="28.5" x14ac:dyDescent="0.25">
      <c r="A4" s="64">
        <v>3</v>
      </c>
      <c r="B4" s="293"/>
      <c r="C4" s="81" t="s">
        <v>250</v>
      </c>
      <c r="D4" s="258" t="s">
        <v>422</v>
      </c>
      <c r="E4" s="82" t="s">
        <v>417</v>
      </c>
      <c r="F4" s="258" t="s">
        <v>422</v>
      </c>
      <c r="G4" s="82" t="s">
        <v>417</v>
      </c>
      <c r="H4" s="258" t="s">
        <v>422</v>
      </c>
      <c r="I4" s="82" t="s">
        <v>417</v>
      </c>
      <c r="J4" s="258" t="s">
        <v>422</v>
      </c>
      <c r="K4" s="82" t="s">
        <v>417</v>
      </c>
      <c r="L4" s="258" t="s">
        <v>422</v>
      </c>
      <c r="M4" s="82" t="s">
        <v>417</v>
      </c>
      <c r="N4" s="258" t="s">
        <v>422</v>
      </c>
      <c r="O4" s="82" t="s">
        <v>417</v>
      </c>
      <c r="P4" s="258" t="s">
        <v>422</v>
      </c>
      <c r="Q4" s="82" t="s">
        <v>417</v>
      </c>
      <c r="R4" s="258" t="s">
        <v>422</v>
      </c>
      <c r="S4" s="82" t="s">
        <v>417</v>
      </c>
      <c r="T4" s="258" t="s">
        <v>422</v>
      </c>
      <c r="U4" s="82" t="s">
        <v>417</v>
      </c>
      <c r="V4" s="258" t="s">
        <v>422</v>
      </c>
      <c r="W4" s="82" t="s">
        <v>417</v>
      </c>
      <c r="X4" s="258" t="s">
        <v>422</v>
      </c>
      <c r="Y4" s="82" t="s">
        <v>417</v>
      </c>
    </row>
    <row r="5" spans="1:25" s="253" customFormat="1" x14ac:dyDescent="0.25">
      <c r="A5" s="64">
        <v>4</v>
      </c>
      <c r="B5" s="297" t="s">
        <v>211</v>
      </c>
      <c r="C5" s="289" t="s">
        <v>267</v>
      </c>
      <c r="D5" s="273">
        <v>77715.199999999997</v>
      </c>
      <c r="E5" s="273">
        <f>D5</f>
        <v>77715.199999999997</v>
      </c>
      <c r="F5" s="273">
        <v>15078</v>
      </c>
      <c r="G5" s="273">
        <f>F5</f>
        <v>15078</v>
      </c>
      <c r="H5" s="273">
        <v>6089.5</v>
      </c>
      <c r="I5" s="273">
        <f>H5</f>
        <v>6089.5</v>
      </c>
      <c r="J5" s="273"/>
      <c r="K5" s="273"/>
      <c r="L5" s="273"/>
      <c r="M5" s="273"/>
      <c r="N5" s="273">
        <v>795</v>
      </c>
      <c r="O5" s="273">
        <f>N5</f>
        <v>795</v>
      </c>
      <c r="P5" s="273"/>
      <c r="Q5" s="273"/>
      <c r="R5" s="273"/>
      <c r="S5" s="273"/>
      <c r="T5" s="273"/>
      <c r="U5" s="273"/>
      <c r="V5" s="290">
        <f>D5+F5+H5+J5+L5+N5+P5+R5</f>
        <v>99677.7</v>
      </c>
      <c r="W5" s="290">
        <f t="shared" ref="W5:X5" si="0">E5+G5+I5+K5+M5+O5+Q5+S5</f>
        <v>99677.7</v>
      </c>
      <c r="X5" s="290">
        <f t="shared" si="0"/>
        <v>21962.5</v>
      </c>
      <c r="Y5" s="290">
        <f>E5+G5+I5+K5+M5+O5+Q5+S5</f>
        <v>99677.7</v>
      </c>
    </row>
    <row r="6" spans="1:25" x14ac:dyDescent="0.25">
      <c r="A6" s="64">
        <v>6</v>
      </c>
      <c r="B6" s="298"/>
      <c r="C6" s="296" t="s">
        <v>252</v>
      </c>
      <c r="D6" s="135">
        <f t="shared" ref="D6:Y6" si="1">SUM(D5:D5)</f>
        <v>77715.199999999997</v>
      </c>
      <c r="E6" s="135">
        <f t="shared" si="1"/>
        <v>77715.199999999997</v>
      </c>
      <c r="F6" s="135">
        <f t="shared" si="1"/>
        <v>15078</v>
      </c>
      <c r="G6" s="135">
        <f t="shared" si="1"/>
        <v>15078</v>
      </c>
      <c r="H6" s="135">
        <f t="shared" si="1"/>
        <v>6089.5</v>
      </c>
      <c r="I6" s="135">
        <f t="shared" si="1"/>
        <v>6089.5</v>
      </c>
      <c r="J6" s="135">
        <f t="shared" si="1"/>
        <v>0</v>
      </c>
      <c r="K6" s="135">
        <f t="shared" si="1"/>
        <v>0</v>
      </c>
      <c r="L6" s="135">
        <f t="shared" si="1"/>
        <v>0</v>
      </c>
      <c r="M6" s="135">
        <f t="shared" si="1"/>
        <v>0</v>
      </c>
      <c r="N6" s="135">
        <f t="shared" si="1"/>
        <v>795</v>
      </c>
      <c r="O6" s="135">
        <f t="shared" si="1"/>
        <v>795</v>
      </c>
      <c r="P6" s="135">
        <f t="shared" si="1"/>
        <v>0</v>
      </c>
      <c r="Q6" s="135">
        <f t="shared" si="1"/>
        <v>0</v>
      </c>
      <c r="R6" s="135">
        <f t="shared" si="1"/>
        <v>0</v>
      </c>
      <c r="S6" s="135">
        <f t="shared" si="1"/>
        <v>0</v>
      </c>
      <c r="T6" s="135">
        <f t="shared" si="1"/>
        <v>0</v>
      </c>
      <c r="U6" s="135">
        <f t="shared" si="1"/>
        <v>0</v>
      </c>
      <c r="V6" s="135">
        <f t="shared" si="1"/>
        <v>99677.7</v>
      </c>
      <c r="W6" s="135">
        <f t="shared" si="1"/>
        <v>99677.7</v>
      </c>
      <c r="X6" s="135">
        <f t="shared" si="1"/>
        <v>21962.5</v>
      </c>
      <c r="Y6" s="135">
        <f t="shared" si="1"/>
        <v>99677.7</v>
      </c>
    </row>
    <row r="7" spans="1:25" x14ac:dyDescent="0.25">
      <c r="A7" s="64">
        <v>7</v>
      </c>
      <c r="B7" s="298"/>
      <c r="C7" s="90" t="s">
        <v>238</v>
      </c>
      <c r="D7" s="140">
        <f t="shared" ref="D7:Y7" si="2">SUMIF($B5:$B5,"kötelező",D5:D5)</f>
        <v>77715.199999999997</v>
      </c>
      <c r="E7" s="140">
        <f t="shared" si="2"/>
        <v>77715.199999999997</v>
      </c>
      <c r="F7" s="140">
        <f t="shared" si="2"/>
        <v>15078</v>
      </c>
      <c r="G7" s="140">
        <f t="shared" si="2"/>
        <v>15078</v>
      </c>
      <c r="H7" s="140">
        <f t="shared" si="2"/>
        <v>6089.5</v>
      </c>
      <c r="I7" s="140">
        <f t="shared" si="2"/>
        <v>6089.5</v>
      </c>
      <c r="J7" s="140">
        <f t="shared" si="2"/>
        <v>0</v>
      </c>
      <c r="K7" s="140">
        <f t="shared" si="2"/>
        <v>0</v>
      </c>
      <c r="L7" s="140">
        <f t="shared" si="2"/>
        <v>0</v>
      </c>
      <c r="M7" s="140">
        <f t="shared" si="2"/>
        <v>0</v>
      </c>
      <c r="N7" s="140">
        <f t="shared" si="2"/>
        <v>795</v>
      </c>
      <c r="O7" s="140">
        <f t="shared" si="2"/>
        <v>795</v>
      </c>
      <c r="P7" s="140">
        <f t="shared" si="2"/>
        <v>0</v>
      </c>
      <c r="Q7" s="140">
        <f t="shared" si="2"/>
        <v>0</v>
      </c>
      <c r="R7" s="140">
        <f t="shared" si="2"/>
        <v>0</v>
      </c>
      <c r="S7" s="140">
        <f t="shared" si="2"/>
        <v>0</v>
      </c>
      <c r="T7" s="140">
        <f t="shared" si="2"/>
        <v>0</v>
      </c>
      <c r="U7" s="140">
        <f t="shared" si="2"/>
        <v>0</v>
      </c>
      <c r="V7" s="140">
        <f t="shared" si="2"/>
        <v>99677.7</v>
      </c>
      <c r="W7" s="140">
        <f t="shared" si="2"/>
        <v>99677.7</v>
      </c>
      <c r="X7" s="140">
        <f t="shared" si="2"/>
        <v>21962.5</v>
      </c>
      <c r="Y7" s="140">
        <f t="shared" si="2"/>
        <v>99677.7</v>
      </c>
    </row>
    <row r="8" spans="1:25" x14ac:dyDescent="0.25">
      <c r="A8" s="64">
        <v>8</v>
      </c>
      <c r="B8" s="298"/>
      <c r="C8" s="90" t="s">
        <v>239</v>
      </c>
      <c r="D8" s="140">
        <f t="shared" ref="D8:Y8" si="3">SUMIF($B5:$B5,"nem kötelező",D5:D5)</f>
        <v>0</v>
      </c>
      <c r="E8" s="140">
        <f t="shared" si="3"/>
        <v>0</v>
      </c>
      <c r="F8" s="140">
        <f t="shared" si="3"/>
        <v>0</v>
      </c>
      <c r="G8" s="140">
        <f t="shared" si="3"/>
        <v>0</v>
      </c>
      <c r="H8" s="140">
        <f t="shared" si="3"/>
        <v>0</v>
      </c>
      <c r="I8" s="140">
        <f t="shared" si="3"/>
        <v>0</v>
      </c>
      <c r="J8" s="140">
        <f t="shared" si="3"/>
        <v>0</v>
      </c>
      <c r="K8" s="140">
        <f t="shared" si="3"/>
        <v>0</v>
      </c>
      <c r="L8" s="140">
        <f t="shared" si="3"/>
        <v>0</v>
      </c>
      <c r="M8" s="140">
        <f t="shared" si="3"/>
        <v>0</v>
      </c>
      <c r="N8" s="140">
        <f t="shared" si="3"/>
        <v>0</v>
      </c>
      <c r="O8" s="140">
        <f t="shared" si="3"/>
        <v>0</v>
      </c>
      <c r="P8" s="140">
        <f t="shared" si="3"/>
        <v>0</v>
      </c>
      <c r="Q8" s="140">
        <f t="shared" si="3"/>
        <v>0</v>
      </c>
      <c r="R8" s="140">
        <f t="shared" si="3"/>
        <v>0</v>
      </c>
      <c r="S8" s="140">
        <f t="shared" si="3"/>
        <v>0</v>
      </c>
      <c r="T8" s="140">
        <f t="shared" si="3"/>
        <v>0</v>
      </c>
      <c r="U8" s="140">
        <f t="shared" si="3"/>
        <v>0</v>
      </c>
      <c r="V8" s="140">
        <f t="shared" si="3"/>
        <v>0</v>
      </c>
      <c r="W8" s="140">
        <f t="shared" si="3"/>
        <v>0</v>
      </c>
      <c r="X8" s="140">
        <f t="shared" si="3"/>
        <v>0</v>
      </c>
      <c r="Y8" s="140">
        <f t="shared" si="3"/>
        <v>0</v>
      </c>
    </row>
    <row r="9" spans="1:25" x14ac:dyDescent="0.25">
      <c r="A9" s="64">
        <v>9</v>
      </c>
      <c r="B9" s="298"/>
      <c r="C9" s="299" t="s">
        <v>295</v>
      </c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66">
        <v>23</v>
      </c>
      <c r="W9" s="66">
        <v>23</v>
      </c>
      <c r="X9" s="66">
        <v>23</v>
      </c>
      <c r="Y9" s="66">
        <v>23</v>
      </c>
    </row>
    <row r="10" spans="1:25" x14ac:dyDescent="0.25">
      <c r="A10" s="64">
        <v>10</v>
      </c>
      <c r="B10" s="298"/>
      <c r="C10" s="90" t="s">
        <v>292</v>
      </c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1">
        <v>0</v>
      </c>
      <c r="W10" s="301">
        <v>0</v>
      </c>
      <c r="X10" s="301">
        <v>0</v>
      </c>
      <c r="Y10" s="301">
        <v>0</v>
      </c>
    </row>
  </sheetData>
  <mergeCells count="12">
    <mergeCell ref="P1:V1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Y3"/>
    <mergeCell ref="C2:Y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8"/>
  <sheetViews>
    <sheetView view="pageBreakPreview" topLeftCell="D1" zoomScaleNormal="100" zoomScaleSheetLayoutView="100" workbookViewId="0">
      <selection activeCell="P24" sqref="P24"/>
    </sheetView>
  </sheetViews>
  <sheetFormatPr defaultRowHeight="15" x14ac:dyDescent="0.25"/>
  <cols>
    <col min="1" max="1" width="5.5703125" style="61" customWidth="1"/>
    <col min="2" max="2" width="14" style="76" customWidth="1"/>
    <col min="3" max="3" width="29.28515625" style="61" customWidth="1"/>
    <col min="4" max="13" width="12.28515625" style="61" customWidth="1"/>
    <col min="14" max="15" width="14.28515625" style="61" customWidth="1"/>
    <col min="16" max="22" width="12.28515625" style="61" customWidth="1"/>
    <col min="23" max="23" width="11.85546875" style="70" hidden="1" customWidth="1"/>
    <col min="24" max="24" width="12" style="61" hidden="1" customWidth="1"/>
    <col min="25" max="25" width="11.28515625" style="61" bestFit="1" customWidth="1"/>
    <col min="26" max="16384" width="9.140625" style="61"/>
  </cols>
  <sheetData>
    <row r="1" spans="1:25" x14ac:dyDescent="0.25">
      <c r="P1" s="428" t="s">
        <v>440</v>
      </c>
      <c r="Q1" s="428"/>
      <c r="R1" s="428"/>
      <c r="S1" s="428"/>
      <c r="T1" s="428"/>
      <c r="U1" s="428"/>
      <c r="V1" s="428"/>
    </row>
    <row r="2" spans="1:25" x14ac:dyDescent="0.25">
      <c r="A2" s="60"/>
      <c r="B2" s="60" t="s">
        <v>148</v>
      </c>
      <c r="C2" s="60" t="s">
        <v>171</v>
      </c>
      <c r="D2" s="60" t="s">
        <v>149</v>
      </c>
      <c r="E2" s="60"/>
      <c r="F2" s="60" t="s">
        <v>150</v>
      </c>
      <c r="G2" s="60"/>
      <c r="H2" s="60" t="s">
        <v>151</v>
      </c>
      <c r="I2" s="60"/>
      <c r="J2" s="60" t="s">
        <v>190</v>
      </c>
      <c r="K2" s="60"/>
      <c r="L2" s="60" t="s">
        <v>198</v>
      </c>
      <c r="M2" s="60"/>
      <c r="N2" s="60" t="s">
        <v>199</v>
      </c>
      <c r="O2" s="60"/>
      <c r="P2" s="60" t="s">
        <v>200</v>
      </c>
      <c r="Q2" s="60"/>
      <c r="R2" s="60" t="s">
        <v>201</v>
      </c>
      <c r="S2" s="60"/>
      <c r="T2" s="60" t="s">
        <v>269</v>
      </c>
      <c r="U2" s="60"/>
      <c r="V2" s="60" t="s">
        <v>254</v>
      </c>
      <c r="Y2" s="69"/>
    </row>
    <row r="3" spans="1:25" ht="42.75" customHeight="1" x14ac:dyDescent="0.25">
      <c r="A3" s="60">
        <v>1</v>
      </c>
      <c r="B3" s="429" t="s">
        <v>441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1"/>
    </row>
    <row r="4" spans="1:25" ht="93" customHeight="1" x14ac:dyDescent="0.25">
      <c r="A4" s="60">
        <v>2</v>
      </c>
      <c r="B4" s="62" t="s">
        <v>257</v>
      </c>
      <c r="C4" s="63" t="s">
        <v>203</v>
      </c>
      <c r="D4" s="432" t="s">
        <v>90</v>
      </c>
      <c r="E4" s="433"/>
      <c r="F4" s="432" t="s">
        <v>270</v>
      </c>
      <c r="G4" s="433"/>
      <c r="H4" s="432" t="s">
        <v>92</v>
      </c>
      <c r="I4" s="433"/>
      <c r="J4" s="432" t="s">
        <v>271</v>
      </c>
      <c r="K4" s="433"/>
      <c r="L4" s="432" t="s">
        <v>310</v>
      </c>
      <c r="M4" s="433"/>
      <c r="N4" s="432" t="s">
        <v>108</v>
      </c>
      <c r="O4" s="433"/>
      <c r="P4" s="432" t="s">
        <v>111</v>
      </c>
      <c r="Q4" s="433"/>
      <c r="R4" s="432" t="s">
        <v>274</v>
      </c>
      <c r="S4" s="433"/>
      <c r="T4" s="432" t="s">
        <v>290</v>
      </c>
      <c r="U4" s="433"/>
      <c r="V4" s="434" t="s">
        <v>242</v>
      </c>
      <c r="W4" s="434"/>
      <c r="X4" s="434"/>
      <c r="Y4" s="434"/>
    </row>
    <row r="5" spans="1:25" ht="28.5" x14ac:dyDescent="0.25">
      <c r="A5" s="60">
        <v>3</v>
      </c>
      <c r="B5" s="71"/>
      <c r="C5" s="63" t="s">
        <v>250</v>
      </c>
      <c r="D5" s="59" t="s">
        <v>422</v>
      </c>
      <c r="E5" s="82" t="s">
        <v>417</v>
      </c>
      <c r="F5" s="59" t="s">
        <v>422</v>
      </c>
      <c r="G5" s="82" t="s">
        <v>417</v>
      </c>
      <c r="H5" s="59" t="s">
        <v>422</v>
      </c>
      <c r="I5" s="82" t="s">
        <v>417</v>
      </c>
      <c r="J5" s="59" t="s">
        <v>422</v>
      </c>
      <c r="K5" s="82" t="s">
        <v>417</v>
      </c>
      <c r="L5" s="59" t="s">
        <v>422</v>
      </c>
      <c r="M5" s="82" t="s">
        <v>417</v>
      </c>
      <c r="N5" s="59" t="s">
        <v>422</v>
      </c>
      <c r="O5" s="82" t="s">
        <v>417</v>
      </c>
      <c r="P5" s="59" t="s">
        <v>422</v>
      </c>
      <c r="Q5" s="82" t="s">
        <v>417</v>
      </c>
      <c r="R5" s="59" t="s">
        <v>422</v>
      </c>
      <c r="S5" s="82" t="s">
        <v>417</v>
      </c>
      <c r="T5" s="59" t="s">
        <v>422</v>
      </c>
      <c r="U5" s="82" t="s">
        <v>417</v>
      </c>
      <c r="V5" s="59" t="s">
        <v>422</v>
      </c>
      <c r="W5" s="82" t="s">
        <v>417</v>
      </c>
      <c r="X5" s="59" t="s">
        <v>422</v>
      </c>
      <c r="Y5" s="82" t="s">
        <v>417</v>
      </c>
    </row>
    <row r="6" spans="1:25" x14ac:dyDescent="0.25">
      <c r="A6" s="60">
        <v>4</v>
      </c>
      <c r="B6" s="71" t="s">
        <v>211</v>
      </c>
      <c r="C6" s="73" t="s">
        <v>339</v>
      </c>
      <c r="D6" s="145">
        <v>10212</v>
      </c>
      <c r="E6" s="145">
        <f>D6</f>
        <v>10212</v>
      </c>
      <c r="F6" s="145">
        <v>1900</v>
      </c>
      <c r="G6" s="145">
        <f>F6</f>
        <v>1900</v>
      </c>
      <c r="H6" s="146">
        <v>4000</v>
      </c>
      <c r="I6" s="146">
        <f>H6</f>
        <v>4000</v>
      </c>
      <c r="J6" s="145"/>
      <c r="K6" s="145"/>
      <c r="L6" s="145"/>
      <c r="M6" s="145"/>
      <c r="N6" s="145">
        <v>127</v>
      </c>
      <c r="O6" s="145">
        <f>N6</f>
        <v>127</v>
      </c>
      <c r="P6" s="145"/>
      <c r="Q6" s="145"/>
      <c r="R6" s="145"/>
      <c r="S6" s="145"/>
      <c r="T6" s="145"/>
      <c r="U6" s="145"/>
      <c r="V6" s="147">
        <f>T6+R6+P6+N6+L6+J6+H6+F6+D6</f>
        <v>16239</v>
      </c>
      <c r="W6" s="74">
        <v>11317</v>
      </c>
      <c r="X6" s="197">
        <v>10318</v>
      </c>
      <c r="Y6" s="198">
        <f>E6+G6+I6+K6+M6+O6+Q6+S6+U6</f>
        <v>16239</v>
      </c>
    </row>
    <row r="7" spans="1:25" x14ac:dyDescent="0.25">
      <c r="A7" s="60">
        <v>5</v>
      </c>
      <c r="B7" s="71" t="s">
        <v>215</v>
      </c>
      <c r="C7" s="73" t="s">
        <v>340</v>
      </c>
      <c r="D7" s="145"/>
      <c r="E7" s="145"/>
      <c r="F7" s="145"/>
      <c r="G7" s="145"/>
      <c r="H7" s="145">
        <v>70</v>
      </c>
      <c r="I7" s="146">
        <f t="shared" ref="I7:I11" si="0">H7</f>
        <v>70</v>
      </c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7">
        <f t="shared" ref="V7:V13" si="1">T7+R7+P7+N7+L7+J7+H7+F7+D7</f>
        <v>70</v>
      </c>
      <c r="W7" s="74">
        <v>173</v>
      </c>
      <c r="X7" s="197">
        <v>211</v>
      </c>
      <c r="Y7" s="198">
        <f t="shared" ref="Y7:Y13" si="2">E7+G7+I7+K7+M7+O7+Q7+S7+U7</f>
        <v>70</v>
      </c>
    </row>
    <row r="8" spans="1:25" x14ac:dyDescent="0.25">
      <c r="A8" s="60">
        <v>6</v>
      </c>
      <c r="B8" s="71" t="s">
        <v>215</v>
      </c>
      <c r="C8" s="73" t="s">
        <v>341</v>
      </c>
      <c r="D8" s="145"/>
      <c r="E8" s="145"/>
      <c r="F8" s="145"/>
      <c r="G8" s="145"/>
      <c r="H8" s="145">
        <v>1100</v>
      </c>
      <c r="I8" s="146">
        <f t="shared" si="0"/>
        <v>1100</v>
      </c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7">
        <f t="shared" si="1"/>
        <v>1100</v>
      </c>
      <c r="W8" s="74">
        <v>3044</v>
      </c>
      <c r="X8" s="197">
        <v>2528</v>
      </c>
      <c r="Y8" s="198">
        <f t="shared" si="2"/>
        <v>1100</v>
      </c>
    </row>
    <row r="9" spans="1:25" x14ac:dyDescent="0.25">
      <c r="A9" s="60">
        <v>7</v>
      </c>
      <c r="B9" s="71" t="s">
        <v>215</v>
      </c>
      <c r="C9" s="73" t="s">
        <v>342</v>
      </c>
      <c r="D9" s="145">
        <v>1000</v>
      </c>
      <c r="E9" s="145">
        <f>D9</f>
        <v>1000</v>
      </c>
      <c r="F9" s="145">
        <v>450</v>
      </c>
      <c r="G9" s="145">
        <f>F9</f>
        <v>450</v>
      </c>
      <c r="H9" s="145">
        <v>550</v>
      </c>
      <c r="I9" s="146">
        <f t="shared" si="0"/>
        <v>550</v>
      </c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7">
        <f t="shared" si="1"/>
        <v>2000</v>
      </c>
      <c r="W9" s="74">
        <v>6614</v>
      </c>
      <c r="X9" s="197">
        <v>6801</v>
      </c>
      <c r="Y9" s="198">
        <f t="shared" si="2"/>
        <v>2000</v>
      </c>
    </row>
    <row r="10" spans="1:25" x14ac:dyDescent="0.25">
      <c r="A10" s="60">
        <v>8</v>
      </c>
      <c r="B10" s="71" t="s">
        <v>215</v>
      </c>
      <c r="C10" s="73" t="s">
        <v>384</v>
      </c>
      <c r="D10" s="145">
        <v>500</v>
      </c>
      <c r="E10" s="145">
        <f>D10</f>
        <v>500</v>
      </c>
      <c r="F10" s="145"/>
      <c r="G10" s="145"/>
      <c r="H10" s="145">
        <v>500</v>
      </c>
      <c r="I10" s="146">
        <f t="shared" si="0"/>
        <v>500</v>
      </c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7">
        <f t="shared" si="1"/>
        <v>1000</v>
      </c>
      <c r="W10" s="74"/>
      <c r="X10" s="197"/>
      <c r="Y10" s="198">
        <f t="shared" si="2"/>
        <v>1000</v>
      </c>
    </row>
    <row r="11" spans="1:25" x14ac:dyDescent="0.25">
      <c r="A11" s="60">
        <v>9</v>
      </c>
      <c r="B11" s="71" t="s">
        <v>215</v>
      </c>
      <c r="C11" s="73" t="s">
        <v>385</v>
      </c>
      <c r="D11" s="145"/>
      <c r="E11" s="145"/>
      <c r="F11" s="145"/>
      <c r="G11" s="145"/>
      <c r="H11" s="145">
        <v>9979.01</v>
      </c>
      <c r="I11" s="146">
        <f t="shared" si="0"/>
        <v>9979.01</v>
      </c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7">
        <f t="shared" si="1"/>
        <v>9979.01</v>
      </c>
      <c r="W11" s="74"/>
      <c r="X11" s="197"/>
      <c r="Y11" s="198">
        <f t="shared" si="2"/>
        <v>9979.01</v>
      </c>
    </row>
    <row r="12" spans="1:25" s="325" customFormat="1" x14ac:dyDescent="0.25">
      <c r="A12" s="317">
        <v>10</v>
      </c>
      <c r="B12" s="336" t="s">
        <v>215</v>
      </c>
      <c r="C12" s="326" t="s">
        <v>513</v>
      </c>
      <c r="D12" s="327">
        <v>1181</v>
      </c>
      <c r="E12" s="327">
        <f>D12+3836</f>
        <v>5017</v>
      </c>
      <c r="F12" s="327">
        <v>128</v>
      </c>
      <c r="G12" s="327">
        <f>F12+373.984</f>
        <v>501.98399999999998</v>
      </c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2">
        <f t="shared" si="1"/>
        <v>1309</v>
      </c>
      <c r="W12" s="337"/>
      <c r="X12" s="338"/>
      <c r="Y12" s="339">
        <f t="shared" si="2"/>
        <v>5518.9840000000004</v>
      </c>
    </row>
    <row r="13" spans="1:25" x14ac:dyDescent="0.25">
      <c r="A13" s="60">
        <v>11</v>
      </c>
      <c r="B13" s="71" t="s">
        <v>215</v>
      </c>
      <c r="C13" s="73" t="s">
        <v>343</v>
      </c>
      <c r="D13" s="145">
        <v>500</v>
      </c>
      <c r="E13" s="145">
        <f>D13</f>
        <v>500</v>
      </c>
      <c r="F13" s="145">
        <v>180</v>
      </c>
      <c r="G13" s="145">
        <f>F13</f>
        <v>180</v>
      </c>
      <c r="H13" s="145">
        <v>14320</v>
      </c>
      <c r="I13" s="145">
        <f>H13</f>
        <v>14320</v>
      </c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7">
        <f t="shared" si="1"/>
        <v>15000</v>
      </c>
      <c r="W13" s="74">
        <v>480</v>
      </c>
      <c r="X13" s="197">
        <v>480</v>
      </c>
      <c r="Y13" s="198">
        <f t="shared" si="2"/>
        <v>15000</v>
      </c>
    </row>
    <row r="14" spans="1:25" x14ac:dyDescent="0.25">
      <c r="A14" s="60">
        <v>12</v>
      </c>
      <c r="B14" s="71"/>
      <c r="C14" s="72" t="s">
        <v>252</v>
      </c>
      <c r="D14" s="147">
        <f>SUM(D6:D13)</f>
        <v>13393</v>
      </c>
      <c r="E14" s="147">
        <f t="shared" ref="E14:I14" si="3">SUM(E6:E13)</f>
        <v>17229</v>
      </c>
      <c r="F14" s="147">
        <f t="shared" si="3"/>
        <v>2658</v>
      </c>
      <c r="G14" s="147">
        <f t="shared" si="3"/>
        <v>3031.9839999999999</v>
      </c>
      <c r="H14" s="147">
        <f t="shared" si="3"/>
        <v>30519.010000000002</v>
      </c>
      <c r="I14" s="147">
        <f t="shared" si="3"/>
        <v>30519.010000000002</v>
      </c>
      <c r="J14" s="147">
        <f>SUM(J6:J13)</f>
        <v>0</v>
      </c>
      <c r="K14" s="147">
        <f t="shared" ref="K14" si="4">SUM(K6:K13)</f>
        <v>0</v>
      </c>
      <c r="L14" s="147">
        <f>SUM(L6:L13)</f>
        <v>0</v>
      </c>
      <c r="M14" s="147">
        <f t="shared" ref="M14" si="5">SUM(M6:M13)</f>
        <v>0</v>
      </c>
      <c r="N14" s="147">
        <f>SUM(N6:N13)</f>
        <v>127</v>
      </c>
      <c r="O14" s="147">
        <f t="shared" ref="O14" si="6">SUM(O6:O13)</f>
        <v>127</v>
      </c>
      <c r="P14" s="147">
        <f>SUM(P6:P13)</f>
        <v>0</v>
      </c>
      <c r="Q14" s="147">
        <f t="shared" ref="Q14" si="7">SUM(Q6:Q13)</f>
        <v>0</v>
      </c>
      <c r="R14" s="147">
        <f>SUM(R6:R13)</f>
        <v>0</v>
      </c>
      <c r="S14" s="147">
        <f t="shared" ref="S14" si="8">SUM(S6:S13)</f>
        <v>0</v>
      </c>
      <c r="T14" s="147">
        <f>SUM(T6:T13)</f>
        <v>0</v>
      </c>
      <c r="U14" s="147">
        <f t="shared" ref="U14" si="9">SUM(U6:U13)</f>
        <v>0</v>
      </c>
      <c r="V14" s="147">
        <f>SUM(V6:V13)</f>
        <v>46697.01</v>
      </c>
      <c r="W14" s="147">
        <f t="shared" ref="W14:Y14" si="10">SUM(W6:W13)</f>
        <v>21628</v>
      </c>
      <c r="X14" s="147">
        <f t="shared" si="10"/>
        <v>20338</v>
      </c>
      <c r="Y14" s="147">
        <f t="shared" si="10"/>
        <v>50906.994000000006</v>
      </c>
    </row>
    <row r="15" spans="1:25" x14ac:dyDescent="0.25">
      <c r="A15" s="60">
        <v>13</v>
      </c>
      <c r="B15" s="71"/>
      <c r="C15" s="69" t="s">
        <v>238</v>
      </c>
      <c r="D15" s="148">
        <f t="shared" ref="D15:V15" si="11">SUMIF($B6:$B13,"kötelező",D6:D13)</f>
        <v>10212</v>
      </c>
      <c r="E15" s="148">
        <f t="shared" ref="E15" si="12">SUMIF($B6:$B13,"kötelező",E6:E13)</f>
        <v>10212</v>
      </c>
      <c r="F15" s="148">
        <f t="shared" si="11"/>
        <v>1900</v>
      </c>
      <c r="G15" s="148">
        <f t="shared" ref="G15" si="13">SUMIF($B6:$B13,"kötelező",G6:G13)</f>
        <v>1900</v>
      </c>
      <c r="H15" s="148">
        <f t="shared" si="11"/>
        <v>4000</v>
      </c>
      <c r="I15" s="148">
        <f t="shared" ref="I15" si="14">SUMIF($B6:$B13,"kötelező",I6:I13)</f>
        <v>4000</v>
      </c>
      <c r="J15" s="148">
        <f t="shared" si="11"/>
        <v>0</v>
      </c>
      <c r="K15" s="148">
        <f t="shared" ref="K15" si="15">SUMIF($B6:$B13,"kötelező",K6:K13)</f>
        <v>0</v>
      </c>
      <c r="L15" s="148">
        <f t="shared" si="11"/>
        <v>0</v>
      </c>
      <c r="M15" s="148">
        <f t="shared" ref="M15" si="16">SUMIF($B6:$B13,"kötelező",M6:M13)</f>
        <v>0</v>
      </c>
      <c r="N15" s="148">
        <f t="shared" si="11"/>
        <v>127</v>
      </c>
      <c r="O15" s="148">
        <f t="shared" ref="O15" si="17">SUMIF($B6:$B13,"kötelező",O6:O13)</f>
        <v>127</v>
      </c>
      <c r="P15" s="148">
        <f t="shared" si="11"/>
        <v>0</v>
      </c>
      <c r="Q15" s="148">
        <f t="shared" ref="Q15" si="18">SUMIF($B6:$B13,"kötelező",Q6:Q13)</f>
        <v>0</v>
      </c>
      <c r="R15" s="148">
        <f t="shared" si="11"/>
        <v>0</v>
      </c>
      <c r="S15" s="148">
        <f t="shared" ref="S15" si="19">SUMIF($B6:$B13,"kötelező",S6:S13)</f>
        <v>0</v>
      </c>
      <c r="T15" s="148">
        <f t="shared" si="11"/>
        <v>0</v>
      </c>
      <c r="U15" s="148">
        <f t="shared" ref="U15" si="20">SUMIF($B6:$B13,"kötelező",U6:U13)</f>
        <v>0</v>
      </c>
      <c r="V15" s="148">
        <f t="shared" si="11"/>
        <v>16239</v>
      </c>
      <c r="W15" s="148">
        <f t="shared" ref="W15:Y15" si="21">SUMIF($B6:$B13,"kötelező",W6:W13)</f>
        <v>11317</v>
      </c>
      <c r="X15" s="148">
        <f t="shared" si="21"/>
        <v>10318</v>
      </c>
      <c r="Y15" s="148">
        <f t="shared" si="21"/>
        <v>16239</v>
      </c>
    </row>
    <row r="16" spans="1:25" x14ac:dyDescent="0.25">
      <c r="A16" s="60">
        <v>14</v>
      </c>
      <c r="B16" s="71"/>
      <c r="C16" s="69" t="s">
        <v>239</v>
      </c>
      <c r="D16" s="148">
        <f t="shared" ref="D16:V16" si="22">SUMIF($B6:$B13,"nem kötelező",D6:D13)</f>
        <v>3181</v>
      </c>
      <c r="E16" s="148">
        <f t="shared" ref="E16" si="23">SUMIF($B6:$B13,"nem kötelező",E6:E13)</f>
        <v>7017</v>
      </c>
      <c r="F16" s="148">
        <f t="shared" si="22"/>
        <v>758</v>
      </c>
      <c r="G16" s="148">
        <f t="shared" ref="G16" si="24">SUMIF($B6:$B13,"nem kötelező",G6:G13)</f>
        <v>1131.9839999999999</v>
      </c>
      <c r="H16" s="148">
        <f t="shared" si="22"/>
        <v>26519.010000000002</v>
      </c>
      <c r="I16" s="148">
        <f t="shared" ref="I16" si="25">SUMIF($B6:$B13,"nem kötelező",I6:I13)</f>
        <v>26519.010000000002</v>
      </c>
      <c r="J16" s="148">
        <f t="shared" si="22"/>
        <v>0</v>
      </c>
      <c r="K16" s="148">
        <f t="shared" ref="K16" si="26">SUMIF($B6:$B13,"nem kötelező",K6:K13)</f>
        <v>0</v>
      </c>
      <c r="L16" s="148">
        <f t="shared" si="22"/>
        <v>0</v>
      </c>
      <c r="M16" s="148">
        <f t="shared" ref="M16" si="27">SUMIF($B6:$B13,"nem kötelező",M6:M13)</f>
        <v>0</v>
      </c>
      <c r="N16" s="148">
        <f t="shared" si="22"/>
        <v>0</v>
      </c>
      <c r="O16" s="148">
        <f t="shared" ref="O16" si="28">SUMIF($B6:$B13,"nem kötelező",O6:O13)</f>
        <v>0</v>
      </c>
      <c r="P16" s="148">
        <f t="shared" si="22"/>
        <v>0</v>
      </c>
      <c r="Q16" s="148">
        <f t="shared" ref="Q16" si="29">SUMIF($B6:$B13,"nem kötelező",Q6:Q13)</f>
        <v>0</v>
      </c>
      <c r="R16" s="148">
        <f t="shared" si="22"/>
        <v>0</v>
      </c>
      <c r="S16" s="148">
        <f t="shared" ref="S16" si="30">SUMIF($B6:$B13,"nem kötelező",S6:S13)</f>
        <v>0</v>
      </c>
      <c r="T16" s="148">
        <f t="shared" si="22"/>
        <v>0</v>
      </c>
      <c r="U16" s="148">
        <f t="shared" ref="U16" si="31">SUMIF($B6:$B13,"nem kötelező",U6:U13)</f>
        <v>0</v>
      </c>
      <c r="V16" s="148">
        <f t="shared" si="22"/>
        <v>30458.010000000002</v>
      </c>
      <c r="W16" s="148">
        <f t="shared" ref="W16:Y16" si="32">SUMIF($B6:$B13,"nem kötelező",W6:W13)</f>
        <v>10311</v>
      </c>
      <c r="X16" s="148">
        <f t="shared" si="32"/>
        <v>10020</v>
      </c>
      <c r="Y16" s="148">
        <f t="shared" si="32"/>
        <v>34667.993999999999</v>
      </c>
    </row>
    <row r="17" spans="1:25" x14ac:dyDescent="0.25">
      <c r="A17" s="60">
        <v>15</v>
      </c>
      <c r="B17" s="71"/>
      <c r="C17" s="69" t="s">
        <v>294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5">
        <v>8</v>
      </c>
      <c r="W17" s="74"/>
      <c r="Y17" s="222">
        <v>7</v>
      </c>
    </row>
    <row r="18" spans="1:25" x14ac:dyDescent="0.25">
      <c r="A18" s="60">
        <v>16</v>
      </c>
      <c r="B18" s="71"/>
      <c r="C18" s="69" t="s">
        <v>292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>
        <v>3</v>
      </c>
      <c r="W18" s="74"/>
      <c r="Y18" s="69">
        <v>3</v>
      </c>
    </row>
  </sheetData>
  <mergeCells count="12">
    <mergeCell ref="P1:V1"/>
    <mergeCell ref="B3:Y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Y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8"/>
  <sheetViews>
    <sheetView topLeftCell="A7" workbookViewId="0">
      <selection activeCell="B13" sqref="B13:E13"/>
    </sheetView>
  </sheetViews>
  <sheetFormatPr defaultRowHeight="15.75" x14ac:dyDescent="0.25"/>
  <cols>
    <col min="1" max="1" width="52.7109375" style="2" customWidth="1"/>
    <col min="2" max="2" width="14.42578125" style="2" customWidth="1"/>
    <col min="3" max="3" width="19" style="99" customWidth="1"/>
    <col min="4" max="4" width="12" style="2" customWidth="1"/>
    <col min="5" max="5" width="12.42578125" style="2" bestFit="1" customWidth="1"/>
    <col min="6" max="6" width="12.42578125" style="2" customWidth="1"/>
    <col min="7" max="7" width="12.85546875" style="2" customWidth="1"/>
    <col min="8" max="16384" width="9.140625" style="2"/>
  </cols>
  <sheetData>
    <row r="1" spans="1:7" x14ac:dyDescent="0.25">
      <c r="A1" s="382" t="s">
        <v>442</v>
      </c>
      <c r="B1" s="382"/>
      <c r="C1" s="382"/>
      <c r="D1" s="382"/>
      <c r="E1" s="382"/>
      <c r="F1" s="382"/>
      <c r="G1" s="382"/>
    </row>
    <row r="3" spans="1:7" s="41" customFormat="1" ht="29.25" customHeight="1" x14ac:dyDescent="0.25">
      <c r="A3" s="435" t="s">
        <v>191</v>
      </c>
      <c r="B3" s="435"/>
      <c r="C3" s="435"/>
      <c r="D3" s="435"/>
      <c r="E3" s="435"/>
      <c r="F3" s="435"/>
      <c r="G3" s="435"/>
    </row>
    <row r="4" spans="1:7" ht="16.5" thickBot="1" x14ac:dyDescent="0.3">
      <c r="E4" s="382" t="s">
        <v>338</v>
      </c>
      <c r="F4" s="382"/>
      <c r="G4" s="382"/>
    </row>
    <row r="5" spans="1:7" s="41" customFormat="1" ht="48" thickBot="1" x14ac:dyDescent="0.3">
      <c r="A5" s="43" t="s">
        <v>192</v>
      </c>
      <c r="B5" s="42" t="s">
        <v>193</v>
      </c>
      <c r="C5" s="44" t="s">
        <v>194</v>
      </c>
      <c r="D5" s="44" t="s">
        <v>528</v>
      </c>
      <c r="E5" s="44" t="s">
        <v>395</v>
      </c>
      <c r="F5" s="311" t="s">
        <v>443</v>
      </c>
      <c r="G5" s="312" t="s">
        <v>444</v>
      </c>
    </row>
    <row r="6" spans="1:7" s="31" customFormat="1" x14ac:dyDescent="0.25">
      <c r="A6" s="97" t="s">
        <v>148</v>
      </c>
      <c r="B6" s="98" t="s">
        <v>171</v>
      </c>
      <c r="C6" s="98" t="s">
        <v>149</v>
      </c>
      <c r="D6" s="98" t="s">
        <v>150</v>
      </c>
      <c r="E6" s="98" t="s">
        <v>151</v>
      </c>
      <c r="F6" s="32" t="s">
        <v>190</v>
      </c>
      <c r="G6" s="32" t="s">
        <v>483</v>
      </c>
    </row>
    <row r="7" spans="1:7" x14ac:dyDescent="0.25">
      <c r="A7" s="102" t="s">
        <v>296</v>
      </c>
      <c r="B7" s="32"/>
      <c r="C7" s="32"/>
      <c r="D7" s="32"/>
      <c r="E7" s="302"/>
      <c r="F7" s="162"/>
      <c r="G7" s="96">
        <f>B7-D7-E7</f>
        <v>0</v>
      </c>
    </row>
    <row r="8" spans="1:7" x14ac:dyDescent="0.25">
      <c r="A8" s="100" t="s">
        <v>446</v>
      </c>
      <c r="B8" s="170"/>
      <c r="C8" s="102"/>
      <c r="D8" s="170"/>
      <c r="E8" s="303"/>
      <c r="F8" s="162"/>
      <c r="G8" s="96">
        <f>B8-D8-E8</f>
        <v>0</v>
      </c>
    </row>
    <row r="9" spans="1:7" x14ac:dyDescent="0.25">
      <c r="A9" s="4" t="s">
        <v>447</v>
      </c>
      <c r="B9" s="163">
        <v>1905</v>
      </c>
      <c r="C9" s="33">
        <v>2019</v>
      </c>
      <c r="D9" s="162">
        <v>0</v>
      </c>
      <c r="E9" s="225">
        <v>1905</v>
      </c>
      <c r="F9" s="225">
        <v>1905</v>
      </c>
      <c r="G9" s="96">
        <v>0</v>
      </c>
    </row>
    <row r="10" spans="1:7" x14ac:dyDescent="0.25">
      <c r="A10" s="4" t="s">
        <v>448</v>
      </c>
      <c r="B10" s="163">
        <v>95</v>
      </c>
      <c r="C10" s="33">
        <v>2019</v>
      </c>
      <c r="D10" s="162">
        <v>0</v>
      </c>
      <c r="E10" s="225">
        <v>95</v>
      </c>
      <c r="F10" s="225">
        <v>95</v>
      </c>
      <c r="G10" s="96"/>
    </row>
    <row r="11" spans="1:7" x14ac:dyDescent="0.25">
      <c r="A11" s="100" t="s">
        <v>337</v>
      </c>
      <c r="B11" s="170">
        <f>SUM(B8:B10)</f>
        <v>2000</v>
      </c>
      <c r="C11" s="102"/>
      <c r="D11" s="170">
        <v>0</v>
      </c>
      <c r="E11" s="304">
        <f>SUM(E8:E10)</f>
        <v>2000</v>
      </c>
      <c r="F11" s="304">
        <f>SUM(F8:F10)</f>
        <v>2000</v>
      </c>
      <c r="G11" s="96">
        <f t="shared" ref="G11:G59" si="0">B11-D11-E11</f>
        <v>0</v>
      </c>
    </row>
    <row r="12" spans="1:7" x14ac:dyDescent="0.25">
      <c r="A12" s="102" t="s">
        <v>346</v>
      </c>
      <c r="B12" s="170"/>
      <c r="C12" s="102"/>
      <c r="D12" s="170"/>
      <c r="E12" s="303"/>
      <c r="F12" s="303"/>
      <c r="G12" s="96">
        <f t="shared" si="0"/>
        <v>0</v>
      </c>
    </row>
    <row r="13" spans="1:7" x14ac:dyDescent="0.25">
      <c r="A13" s="65" t="s">
        <v>336</v>
      </c>
      <c r="B13" s="163">
        <v>42570.487999999998</v>
      </c>
      <c r="C13" s="32">
        <v>2019</v>
      </c>
      <c r="D13" s="163">
        <v>0</v>
      </c>
      <c r="E13" s="305">
        <f>42570.488</f>
        <v>42570.487999999998</v>
      </c>
      <c r="F13" s="305">
        <f>42570.488-42570.488</f>
        <v>0</v>
      </c>
      <c r="G13" s="96">
        <f t="shared" si="0"/>
        <v>0</v>
      </c>
    </row>
    <row r="14" spans="1:7" x14ac:dyDescent="0.25">
      <c r="A14" s="65" t="s">
        <v>333</v>
      </c>
      <c r="B14" s="163">
        <v>186265.1</v>
      </c>
      <c r="C14" s="32">
        <v>2019</v>
      </c>
      <c r="D14" s="163">
        <v>0</v>
      </c>
      <c r="E14" s="305">
        <v>186265.1</v>
      </c>
      <c r="F14" s="305">
        <v>186265.1</v>
      </c>
      <c r="G14" s="96">
        <f t="shared" si="0"/>
        <v>0</v>
      </c>
    </row>
    <row r="15" spans="1:7" ht="38.25" x14ac:dyDescent="0.25">
      <c r="A15" s="155" t="s">
        <v>449</v>
      </c>
      <c r="B15" s="163">
        <v>1270</v>
      </c>
      <c r="C15" s="32">
        <v>2019</v>
      </c>
      <c r="D15" s="163">
        <v>0</v>
      </c>
      <c r="E15" s="305">
        <v>1270</v>
      </c>
      <c r="F15" s="305">
        <v>1270</v>
      </c>
      <c r="G15" s="96">
        <f t="shared" si="0"/>
        <v>0</v>
      </c>
    </row>
    <row r="16" spans="1:7" x14ac:dyDescent="0.25">
      <c r="A16" s="65" t="s">
        <v>334</v>
      </c>
      <c r="B16" s="163">
        <v>35359.459000000003</v>
      </c>
      <c r="C16" s="32">
        <v>2019</v>
      </c>
      <c r="D16" s="163">
        <v>0</v>
      </c>
      <c r="E16" s="305">
        <v>35359.459000000003</v>
      </c>
      <c r="F16" s="305">
        <f>35359.459+11370.421</f>
        <v>46729.880000000005</v>
      </c>
      <c r="G16" s="96">
        <f t="shared" si="0"/>
        <v>0</v>
      </c>
    </row>
    <row r="17" spans="1:7" s="1" customFormat="1" x14ac:dyDescent="0.25">
      <c r="A17" s="65" t="s">
        <v>450</v>
      </c>
      <c r="B17" s="163">
        <v>15345</v>
      </c>
      <c r="C17" s="32">
        <v>2019</v>
      </c>
      <c r="D17" s="163">
        <v>0</v>
      </c>
      <c r="E17" s="305">
        <v>15345</v>
      </c>
      <c r="F17" s="305">
        <v>15345</v>
      </c>
      <c r="G17" s="103">
        <f t="shared" si="0"/>
        <v>0</v>
      </c>
    </row>
    <row r="18" spans="1:7" x14ac:dyDescent="0.25">
      <c r="A18" s="65" t="s">
        <v>335</v>
      </c>
      <c r="B18" s="163">
        <v>158900.43799999999</v>
      </c>
      <c r="C18" s="32">
        <v>2019</v>
      </c>
      <c r="D18" s="163">
        <v>0</v>
      </c>
      <c r="E18" s="305">
        <v>158900.43799999999</v>
      </c>
      <c r="F18" s="305">
        <v>158900.43799999999</v>
      </c>
      <c r="G18" s="96">
        <f t="shared" si="0"/>
        <v>0</v>
      </c>
    </row>
    <row r="19" spans="1:7" x14ac:dyDescent="0.25">
      <c r="A19" s="100" t="s">
        <v>451</v>
      </c>
      <c r="B19" s="170">
        <f>SUM(B13:B18)</f>
        <v>439710.48499999999</v>
      </c>
      <c r="C19" s="102"/>
      <c r="D19" s="170"/>
      <c r="E19" s="303">
        <f>SUM(E13:E18)</f>
        <v>439710.48499999999</v>
      </c>
      <c r="F19" s="303">
        <f>SUM(F13:F18)</f>
        <v>408510.41800000001</v>
      </c>
      <c r="G19" s="96">
        <f t="shared" si="0"/>
        <v>0</v>
      </c>
    </row>
    <row r="20" spans="1:7" x14ac:dyDescent="0.25">
      <c r="A20" s="306" t="s">
        <v>452</v>
      </c>
      <c r="B20" s="163"/>
      <c r="C20" s="32"/>
      <c r="D20" s="163"/>
      <c r="E20" s="225"/>
      <c r="F20" s="225"/>
      <c r="G20" s="96">
        <f t="shared" si="0"/>
        <v>0</v>
      </c>
    </row>
    <row r="21" spans="1:7" x14ac:dyDescent="0.25">
      <c r="A21" s="65" t="s">
        <v>371</v>
      </c>
      <c r="B21" s="163">
        <v>100477.77899999999</v>
      </c>
      <c r="C21" s="32">
        <v>2019</v>
      </c>
      <c r="D21" s="163">
        <v>0</v>
      </c>
      <c r="E21" s="305">
        <v>76618.778999999995</v>
      </c>
      <c r="F21" s="305">
        <v>76618.778999999995</v>
      </c>
      <c r="G21" s="96"/>
    </row>
    <row r="22" spans="1:7" ht="25.5" x14ac:dyDescent="0.25">
      <c r="A22" s="155" t="s">
        <v>453</v>
      </c>
      <c r="B22" s="163">
        <v>44766.830999999998</v>
      </c>
      <c r="C22" s="32">
        <v>2019</v>
      </c>
      <c r="D22" s="163">
        <v>0</v>
      </c>
      <c r="E22" s="305">
        <v>39747</v>
      </c>
      <c r="F22" s="305">
        <v>39747</v>
      </c>
      <c r="G22" s="96"/>
    </row>
    <row r="23" spans="1:7" x14ac:dyDescent="0.25">
      <c r="A23" s="155" t="s">
        <v>454</v>
      </c>
      <c r="B23" s="163">
        <v>352.7</v>
      </c>
      <c r="C23" s="32">
        <v>2019</v>
      </c>
      <c r="D23" s="163">
        <v>0</v>
      </c>
      <c r="E23" s="305">
        <v>352.7</v>
      </c>
      <c r="F23" s="305">
        <v>352.7</v>
      </c>
      <c r="G23" s="96"/>
    </row>
    <row r="24" spans="1:7" s="1" customFormat="1" ht="25.5" x14ac:dyDescent="0.25">
      <c r="A24" s="155" t="s">
        <v>455</v>
      </c>
      <c r="B24" s="163">
        <v>803</v>
      </c>
      <c r="C24" s="32">
        <v>2019</v>
      </c>
      <c r="D24" s="163">
        <v>0</v>
      </c>
      <c r="E24" s="305">
        <v>803</v>
      </c>
      <c r="F24" s="305">
        <v>803</v>
      </c>
      <c r="G24" s="103"/>
    </row>
    <row r="25" spans="1:7" s="1" customFormat="1" ht="25.5" x14ac:dyDescent="0.25">
      <c r="A25" s="155" t="s">
        <v>456</v>
      </c>
      <c r="B25" s="163">
        <v>2205.9879999999998</v>
      </c>
      <c r="C25" s="32">
        <v>2019</v>
      </c>
      <c r="D25" s="163">
        <v>0</v>
      </c>
      <c r="E25" s="305">
        <v>2205.9879999999998</v>
      </c>
      <c r="F25" s="305">
        <v>2205.9879999999998</v>
      </c>
      <c r="G25" s="103"/>
    </row>
    <row r="26" spans="1:7" ht="25.5" x14ac:dyDescent="0.25">
      <c r="A26" s="155" t="s">
        <v>457</v>
      </c>
      <c r="B26" s="163">
        <v>2362.4</v>
      </c>
      <c r="C26" s="32">
        <v>2019</v>
      </c>
      <c r="D26" s="163">
        <v>0</v>
      </c>
      <c r="E26" s="305">
        <v>2362.4</v>
      </c>
      <c r="F26" s="305">
        <v>2362.4</v>
      </c>
      <c r="G26" s="96"/>
    </row>
    <row r="27" spans="1:7" ht="25.5" x14ac:dyDescent="0.25">
      <c r="A27" s="155" t="s">
        <v>458</v>
      </c>
      <c r="B27" s="163">
        <v>1954.53</v>
      </c>
      <c r="C27" s="32">
        <v>2019</v>
      </c>
      <c r="D27" s="163">
        <v>0</v>
      </c>
      <c r="E27" s="305">
        <v>1954.53</v>
      </c>
      <c r="F27" s="305">
        <v>1954.53</v>
      </c>
      <c r="G27" s="96"/>
    </row>
    <row r="28" spans="1:7" x14ac:dyDescent="0.25">
      <c r="A28" s="326" t="s">
        <v>527</v>
      </c>
      <c r="B28" s="163">
        <v>2362.4</v>
      </c>
      <c r="C28" s="32">
        <v>2019</v>
      </c>
      <c r="D28" s="163">
        <v>0</v>
      </c>
      <c r="F28" s="305">
        <v>2362.4</v>
      </c>
      <c r="G28" s="96"/>
    </row>
    <row r="29" spans="1:7" x14ac:dyDescent="0.25">
      <c r="A29" s="326" t="s">
        <v>529</v>
      </c>
      <c r="B29" s="163"/>
      <c r="C29" s="32"/>
      <c r="D29" s="163"/>
      <c r="E29" s="305"/>
      <c r="F29" s="170"/>
      <c r="G29" s="96"/>
    </row>
    <row r="30" spans="1:7" x14ac:dyDescent="0.25">
      <c r="A30" s="326" t="s">
        <v>530</v>
      </c>
      <c r="B30" s="163"/>
      <c r="C30" s="32"/>
      <c r="D30" s="163"/>
      <c r="E30" s="305"/>
      <c r="F30" s="170"/>
      <c r="G30" s="96"/>
    </row>
    <row r="31" spans="1:7" x14ac:dyDescent="0.25">
      <c r="A31" s="326" t="s">
        <v>531</v>
      </c>
      <c r="B31" s="163"/>
      <c r="C31" s="32"/>
      <c r="D31" s="163"/>
      <c r="E31" s="305"/>
      <c r="F31" s="170"/>
      <c r="G31" s="96"/>
    </row>
    <row r="32" spans="1:7" x14ac:dyDescent="0.25">
      <c r="A32" s="326" t="s">
        <v>532</v>
      </c>
      <c r="B32" s="163"/>
      <c r="C32" s="32"/>
      <c r="D32" s="163"/>
      <c r="E32" s="305"/>
      <c r="F32" s="170"/>
      <c r="G32" s="96"/>
    </row>
    <row r="33" spans="1:7" x14ac:dyDescent="0.25">
      <c r="A33" s="326" t="s">
        <v>533</v>
      </c>
      <c r="B33" s="163"/>
      <c r="C33" s="32"/>
      <c r="D33" s="163"/>
      <c r="E33" s="305"/>
      <c r="F33" s="170"/>
      <c r="G33" s="96"/>
    </row>
    <row r="34" spans="1:7" x14ac:dyDescent="0.25">
      <c r="A34" s="326" t="s">
        <v>534</v>
      </c>
      <c r="B34" s="163"/>
      <c r="C34" s="32"/>
      <c r="D34" s="163"/>
      <c r="E34" s="305"/>
      <c r="F34" s="170"/>
      <c r="G34" s="96"/>
    </row>
    <row r="35" spans="1:7" x14ac:dyDescent="0.25">
      <c r="A35" s="307" t="s">
        <v>459</v>
      </c>
      <c r="B35" s="170">
        <f>SUM(B21:B28)</f>
        <v>155285.628</v>
      </c>
      <c r="C35" s="102"/>
      <c r="D35" s="170"/>
      <c r="E35" s="303">
        <f>SUM(E21:E28)</f>
        <v>124044.39699999998</v>
      </c>
      <c r="F35" s="303">
        <f>SUM(F21:F28)</f>
        <v>126406.79699999998</v>
      </c>
      <c r="G35" s="96"/>
    </row>
    <row r="36" spans="1:7" x14ac:dyDescent="0.25">
      <c r="A36" s="155" t="s">
        <v>460</v>
      </c>
      <c r="B36" s="163">
        <v>5000</v>
      </c>
      <c r="C36" s="32">
        <v>2019</v>
      </c>
      <c r="D36" s="163">
        <v>0</v>
      </c>
      <c r="E36" s="305">
        <v>5000</v>
      </c>
      <c r="F36" s="305">
        <v>5000</v>
      </c>
      <c r="G36" s="96"/>
    </row>
    <row r="37" spans="1:7" ht="31.5" x14ac:dyDescent="0.25">
      <c r="A37" s="308" t="s">
        <v>461</v>
      </c>
      <c r="B37" s="163">
        <v>0</v>
      </c>
      <c r="C37" s="32">
        <v>2019</v>
      </c>
      <c r="D37" s="163">
        <v>0</v>
      </c>
      <c r="E37" s="225">
        <v>0</v>
      </c>
      <c r="F37" s="225">
        <v>0</v>
      </c>
      <c r="G37" s="96"/>
    </row>
    <row r="38" spans="1:7" s="1" customFormat="1" ht="31.5" x14ac:dyDescent="0.25">
      <c r="A38" s="308" t="s">
        <v>462</v>
      </c>
      <c r="B38" s="163">
        <v>144.28</v>
      </c>
      <c r="C38" s="32">
        <v>2019</v>
      </c>
      <c r="D38" s="163">
        <v>0</v>
      </c>
      <c r="E38" s="305">
        <v>144.28</v>
      </c>
      <c r="F38" s="305">
        <v>144.28</v>
      </c>
      <c r="G38" s="103"/>
    </row>
    <row r="39" spans="1:7" s="1" customFormat="1" ht="34.5" x14ac:dyDescent="0.25">
      <c r="A39" s="308" t="s">
        <v>463</v>
      </c>
      <c r="B39" s="163">
        <v>0</v>
      </c>
      <c r="C39" s="32">
        <v>2019</v>
      </c>
      <c r="D39" s="163">
        <v>0</v>
      </c>
      <c r="E39" s="225">
        <v>0</v>
      </c>
      <c r="F39" s="225">
        <v>0</v>
      </c>
      <c r="G39" s="103">
        <f t="shared" si="0"/>
        <v>0</v>
      </c>
    </row>
    <row r="40" spans="1:7" s="1" customFormat="1" x14ac:dyDescent="0.25">
      <c r="A40" s="308" t="s">
        <v>464</v>
      </c>
      <c r="B40" s="163">
        <v>600</v>
      </c>
      <c r="C40" s="32">
        <v>2019</v>
      </c>
      <c r="D40" s="163">
        <v>0</v>
      </c>
      <c r="E40" s="305">
        <v>600</v>
      </c>
      <c r="F40" s="305">
        <v>600</v>
      </c>
      <c r="G40" s="101">
        <f>SUM(G7:G14)</f>
        <v>0</v>
      </c>
    </row>
    <row r="41" spans="1:7" ht="31.5" x14ac:dyDescent="0.25">
      <c r="A41" s="308" t="s">
        <v>465</v>
      </c>
      <c r="B41" s="163">
        <v>0</v>
      </c>
      <c r="C41" s="32">
        <v>2019</v>
      </c>
      <c r="D41" s="163"/>
      <c r="E41" s="225">
        <v>0</v>
      </c>
      <c r="F41" s="225">
        <v>0</v>
      </c>
      <c r="G41" s="96">
        <f t="shared" si="0"/>
        <v>0</v>
      </c>
    </row>
    <row r="42" spans="1:7" x14ac:dyDescent="0.25">
      <c r="A42" s="308" t="s">
        <v>466</v>
      </c>
      <c r="B42" s="163">
        <v>2399.5</v>
      </c>
      <c r="C42" s="32" t="s">
        <v>467</v>
      </c>
      <c r="D42" s="163">
        <v>2062</v>
      </c>
      <c r="E42" s="305">
        <v>337.5</v>
      </c>
      <c r="F42" s="305">
        <v>337.5</v>
      </c>
      <c r="G42" s="96">
        <v>0</v>
      </c>
    </row>
    <row r="43" spans="1:7" s="1" customFormat="1" x14ac:dyDescent="0.25">
      <c r="A43" s="100" t="s">
        <v>299</v>
      </c>
      <c r="B43" s="170">
        <f>B11+B19+SUM(B20:B42)</f>
        <v>760425.52099999995</v>
      </c>
      <c r="C43" s="101"/>
      <c r="D43" s="170"/>
      <c r="E43" s="303">
        <f>E11+E19+E35+E36+E38+E40+E42</f>
        <v>571836.66200000001</v>
      </c>
      <c r="F43" s="303">
        <f>F11+F19+F35+F36+F38+F40+F42</f>
        <v>542998.995</v>
      </c>
      <c r="G43" s="96">
        <v>0</v>
      </c>
    </row>
    <row r="44" spans="1:7" x14ac:dyDescent="0.25">
      <c r="A44" s="102" t="s">
        <v>387</v>
      </c>
      <c r="B44" s="170"/>
      <c r="C44" s="102"/>
      <c r="D44" s="170"/>
      <c r="E44" s="303"/>
      <c r="F44" s="163"/>
      <c r="G44" s="96">
        <f t="shared" si="0"/>
        <v>0</v>
      </c>
    </row>
    <row r="45" spans="1:7" x14ac:dyDescent="0.25">
      <c r="A45" s="4" t="s">
        <v>468</v>
      </c>
      <c r="B45" s="163">
        <v>105</v>
      </c>
      <c r="C45" s="32">
        <v>2019</v>
      </c>
      <c r="D45" s="163">
        <v>0</v>
      </c>
      <c r="E45" s="225">
        <v>105</v>
      </c>
      <c r="F45" s="225">
        <v>105</v>
      </c>
      <c r="G45" s="96">
        <f t="shared" si="0"/>
        <v>0</v>
      </c>
    </row>
    <row r="46" spans="1:7" x14ac:dyDescent="0.25">
      <c r="A46" s="4" t="s">
        <v>469</v>
      </c>
      <c r="B46" s="163">
        <v>44.4</v>
      </c>
      <c r="C46" s="32">
        <v>2019</v>
      </c>
      <c r="D46" s="163">
        <v>0</v>
      </c>
      <c r="E46" s="225">
        <v>44.4</v>
      </c>
      <c r="F46" s="225">
        <v>44.4</v>
      </c>
      <c r="G46" s="96"/>
    </row>
    <row r="47" spans="1:7" x14ac:dyDescent="0.25">
      <c r="A47" s="100" t="s">
        <v>470</v>
      </c>
      <c r="B47" s="170"/>
      <c r="C47" s="102"/>
      <c r="D47" s="170"/>
      <c r="E47" s="303">
        <f>SUM(E45:E46)</f>
        <v>149.4</v>
      </c>
      <c r="F47" s="303">
        <f>SUM(F45:F46)</f>
        <v>149.4</v>
      </c>
      <c r="G47" s="96">
        <v>0</v>
      </c>
    </row>
    <row r="48" spans="1:7" x14ac:dyDescent="0.25">
      <c r="A48" s="102" t="s">
        <v>298</v>
      </c>
      <c r="B48" s="163"/>
      <c r="C48" s="32"/>
      <c r="D48" s="163"/>
      <c r="E48" s="225"/>
      <c r="F48" s="170"/>
      <c r="G48" s="96">
        <v>0</v>
      </c>
    </row>
    <row r="49" spans="1:7" s="1" customFormat="1" x14ac:dyDescent="0.25">
      <c r="A49" s="224" t="s">
        <v>471</v>
      </c>
      <c r="B49" s="163">
        <v>280</v>
      </c>
      <c r="C49" s="32">
        <v>2019</v>
      </c>
      <c r="D49" s="163">
        <v>0</v>
      </c>
      <c r="E49" s="225">
        <v>280</v>
      </c>
      <c r="F49" s="225">
        <v>280</v>
      </c>
      <c r="G49" s="103">
        <f t="shared" si="0"/>
        <v>0</v>
      </c>
    </row>
    <row r="50" spans="1:7" x14ac:dyDescent="0.25">
      <c r="A50" s="224" t="s">
        <v>472</v>
      </c>
      <c r="B50" s="163">
        <v>140</v>
      </c>
      <c r="C50" s="32">
        <v>2019</v>
      </c>
      <c r="D50" s="163">
        <v>0</v>
      </c>
      <c r="E50" s="225">
        <v>140</v>
      </c>
      <c r="F50" s="225">
        <v>140</v>
      </c>
      <c r="G50" s="96">
        <f t="shared" si="0"/>
        <v>0</v>
      </c>
    </row>
    <row r="51" spans="1:7" s="1" customFormat="1" x14ac:dyDescent="0.25">
      <c r="A51" s="224" t="s">
        <v>473</v>
      </c>
      <c r="B51" s="163">
        <v>300</v>
      </c>
      <c r="C51" s="32">
        <v>2019</v>
      </c>
      <c r="D51" s="163">
        <v>0</v>
      </c>
      <c r="E51" s="225">
        <v>300</v>
      </c>
      <c r="F51" s="225">
        <v>300</v>
      </c>
      <c r="G51" s="103">
        <v>0</v>
      </c>
    </row>
    <row r="52" spans="1:7" s="1" customFormat="1" x14ac:dyDescent="0.25">
      <c r="A52" s="224" t="s">
        <v>536</v>
      </c>
      <c r="B52" s="163"/>
      <c r="C52" s="32">
        <v>2019</v>
      </c>
      <c r="D52" s="163">
        <v>0</v>
      </c>
      <c r="E52" s="225"/>
      <c r="F52" s="225">
        <v>316.666</v>
      </c>
      <c r="G52" s="103">
        <v>0</v>
      </c>
    </row>
    <row r="53" spans="1:7" ht="31.5" x14ac:dyDescent="0.25">
      <c r="A53" s="309" t="s">
        <v>474</v>
      </c>
      <c r="B53" s="163">
        <v>300</v>
      </c>
      <c r="C53" s="32">
        <v>2019</v>
      </c>
      <c r="D53" s="163">
        <v>0</v>
      </c>
      <c r="E53" s="225">
        <v>300</v>
      </c>
      <c r="F53" s="225">
        <v>300</v>
      </c>
      <c r="G53" s="96">
        <f t="shared" si="0"/>
        <v>0</v>
      </c>
    </row>
    <row r="54" spans="1:7" x14ac:dyDescent="0.25">
      <c r="A54" s="309" t="s">
        <v>475</v>
      </c>
      <c r="B54" s="163">
        <v>1440</v>
      </c>
      <c r="C54" s="32">
        <v>2019</v>
      </c>
      <c r="D54" s="163">
        <v>0</v>
      </c>
      <c r="E54" s="225">
        <v>1440</v>
      </c>
      <c r="F54" s="225">
        <v>1440</v>
      </c>
      <c r="G54" s="96">
        <f t="shared" si="0"/>
        <v>0</v>
      </c>
    </row>
    <row r="55" spans="1:7" x14ac:dyDescent="0.25">
      <c r="A55" s="224" t="s">
        <v>476</v>
      </c>
      <c r="B55" s="163">
        <v>0</v>
      </c>
      <c r="C55" s="32">
        <v>2019</v>
      </c>
      <c r="D55" s="163">
        <v>0</v>
      </c>
      <c r="E55" s="225">
        <v>0</v>
      </c>
      <c r="F55" s="225">
        <v>0</v>
      </c>
      <c r="G55" s="96">
        <f t="shared" si="0"/>
        <v>0</v>
      </c>
    </row>
    <row r="56" spans="1:7" x14ac:dyDescent="0.25">
      <c r="A56" s="100" t="s">
        <v>300</v>
      </c>
      <c r="B56" s="170">
        <f>SUM(B49:B55)</f>
        <v>2460</v>
      </c>
      <c r="C56" s="101"/>
      <c r="D56" s="170">
        <f>SUM(D53:D55)</f>
        <v>0</v>
      </c>
      <c r="E56" s="303">
        <f>SUM(E49:E55)</f>
        <v>2460</v>
      </c>
      <c r="F56" s="303">
        <f>SUM(F49:F55)</f>
        <v>2776.6660000000002</v>
      </c>
      <c r="G56" s="96">
        <f t="shared" si="0"/>
        <v>0</v>
      </c>
    </row>
    <row r="57" spans="1:7" x14ac:dyDescent="0.25">
      <c r="A57" s="102" t="s">
        <v>301</v>
      </c>
      <c r="B57" s="163"/>
      <c r="C57" s="32"/>
      <c r="D57" s="163"/>
      <c r="E57" s="225"/>
      <c r="F57" s="163"/>
      <c r="G57" s="96">
        <f t="shared" si="0"/>
        <v>0</v>
      </c>
    </row>
    <row r="58" spans="1:7" x14ac:dyDescent="0.25">
      <c r="A58" s="4" t="s">
        <v>477</v>
      </c>
      <c r="B58" s="163">
        <v>0</v>
      </c>
      <c r="C58" s="32">
        <v>2019</v>
      </c>
      <c r="D58" s="163"/>
      <c r="E58" s="225">
        <v>0</v>
      </c>
      <c r="F58" s="225">
        <v>0</v>
      </c>
      <c r="G58" s="96">
        <f t="shared" si="0"/>
        <v>0</v>
      </c>
    </row>
    <row r="59" spans="1:7" x14ac:dyDescent="0.25">
      <c r="A59" s="4" t="s">
        <v>478</v>
      </c>
      <c r="B59" s="163">
        <v>0</v>
      </c>
      <c r="C59" s="32">
        <v>2019</v>
      </c>
      <c r="D59" s="163"/>
      <c r="E59" s="225">
        <v>0</v>
      </c>
      <c r="F59" s="225">
        <v>0</v>
      </c>
      <c r="G59" s="227">
        <f t="shared" si="0"/>
        <v>0</v>
      </c>
    </row>
    <row r="60" spans="1:7" x14ac:dyDescent="0.25">
      <c r="A60" s="4" t="s">
        <v>479</v>
      </c>
      <c r="B60" s="163">
        <v>400</v>
      </c>
      <c r="C60" s="32">
        <v>2019</v>
      </c>
      <c r="D60" s="163"/>
      <c r="E60" s="225">
        <v>295</v>
      </c>
      <c r="F60" s="225">
        <v>295</v>
      </c>
      <c r="G60" s="227">
        <v>0</v>
      </c>
    </row>
    <row r="61" spans="1:7" x14ac:dyDescent="0.25">
      <c r="A61" s="4" t="s">
        <v>480</v>
      </c>
      <c r="B61" s="163">
        <v>120</v>
      </c>
      <c r="C61" s="32">
        <v>2019</v>
      </c>
      <c r="D61" s="163"/>
      <c r="E61" s="225">
        <v>0</v>
      </c>
      <c r="F61" s="225">
        <v>0</v>
      </c>
      <c r="G61" s="228">
        <v>0</v>
      </c>
    </row>
    <row r="62" spans="1:7" x14ac:dyDescent="0.25">
      <c r="A62" s="4" t="s">
        <v>481</v>
      </c>
      <c r="B62" s="163">
        <v>400</v>
      </c>
      <c r="C62" s="32">
        <v>2019</v>
      </c>
      <c r="D62" s="163"/>
      <c r="E62" s="225">
        <v>400</v>
      </c>
      <c r="F62" s="225">
        <v>400</v>
      </c>
      <c r="G62" s="228">
        <v>0</v>
      </c>
    </row>
    <row r="63" spans="1:7" x14ac:dyDescent="0.25">
      <c r="A63" s="4" t="s">
        <v>482</v>
      </c>
      <c r="B63" s="163">
        <v>100</v>
      </c>
      <c r="C63" s="32">
        <v>2019</v>
      </c>
      <c r="D63" s="163"/>
      <c r="E63" s="225">
        <v>100</v>
      </c>
      <c r="F63" s="225">
        <v>100</v>
      </c>
      <c r="G63" s="228">
        <v>0</v>
      </c>
    </row>
    <row r="64" spans="1:7" s="1" customFormat="1" x14ac:dyDescent="0.25">
      <c r="A64" s="100" t="s">
        <v>302</v>
      </c>
      <c r="B64" s="170">
        <f>SUM(B58:B63)</f>
        <v>1020</v>
      </c>
      <c r="C64" s="101"/>
      <c r="D64" s="170">
        <f>SUM(D58:D63)</f>
        <v>0</v>
      </c>
      <c r="E64" s="303">
        <f>SUM(E58:E63)</f>
        <v>795</v>
      </c>
      <c r="F64" s="163">
        <f>SUM(F58:F63)</f>
        <v>795</v>
      </c>
      <c r="G64" s="228">
        <v>0</v>
      </c>
    </row>
    <row r="65" spans="1:7" x14ac:dyDescent="0.25">
      <c r="A65" s="102" t="s">
        <v>339</v>
      </c>
      <c r="B65" s="163"/>
      <c r="C65" s="32"/>
      <c r="D65" s="163"/>
      <c r="E65" s="225"/>
      <c r="F65" s="4"/>
      <c r="G65" s="4"/>
    </row>
    <row r="66" spans="1:7" x14ac:dyDescent="0.25">
      <c r="A66" s="4" t="s">
        <v>468</v>
      </c>
      <c r="B66" s="163">
        <v>127</v>
      </c>
      <c r="C66" s="32">
        <v>2019</v>
      </c>
      <c r="D66" s="163">
        <v>0</v>
      </c>
      <c r="E66" s="225">
        <v>127</v>
      </c>
      <c r="F66" s="163">
        <f>E66</f>
        <v>127</v>
      </c>
      <c r="G66" s="4">
        <v>0</v>
      </c>
    </row>
    <row r="67" spans="1:7" x14ac:dyDescent="0.25">
      <c r="A67" s="100" t="s">
        <v>388</v>
      </c>
      <c r="B67" s="170"/>
      <c r="C67" s="102"/>
      <c r="D67" s="170"/>
      <c r="E67" s="303">
        <f>SUM(E66:E66)</f>
        <v>127</v>
      </c>
      <c r="F67" s="303">
        <f>SUM(F66:F66)</f>
        <v>127</v>
      </c>
      <c r="G67" s="4">
        <v>0</v>
      </c>
    </row>
    <row r="68" spans="1:7" ht="16.5" thickBot="1" x14ac:dyDescent="0.3">
      <c r="A68" s="226" t="s">
        <v>304</v>
      </c>
      <c r="B68" s="212">
        <f>B43+B44+B56+B64</f>
        <v>763905.52099999995</v>
      </c>
      <c r="C68" s="212"/>
      <c r="D68" s="212">
        <f>D43+D44+D56+D64</f>
        <v>0</v>
      </c>
      <c r="E68" s="310">
        <f>E43+E47+E56+E64+E67</f>
        <v>575368.06200000003</v>
      </c>
      <c r="F68" s="310">
        <f>F43+F47+F56+F64+F67</f>
        <v>546847.06099999999</v>
      </c>
      <c r="G68" s="4">
        <v>0</v>
      </c>
    </row>
  </sheetData>
  <mergeCells count="3">
    <mergeCell ref="A1:G1"/>
    <mergeCell ref="A3:G3"/>
    <mergeCell ref="E4:G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"/>
  <sheetViews>
    <sheetView view="pageBreakPreview" zoomScaleNormal="100" zoomScaleSheetLayoutView="100" workbookViewId="0">
      <selection activeCell="G30" sqref="G30"/>
    </sheetView>
  </sheetViews>
  <sheetFormatPr defaultRowHeight="15.75" x14ac:dyDescent="0.25"/>
  <cols>
    <col min="1" max="1" width="53.42578125" style="249" customWidth="1"/>
    <col min="2" max="2" width="14.42578125" style="249" customWidth="1"/>
    <col min="3" max="3" width="19" style="249" customWidth="1"/>
    <col min="4" max="4" width="12" style="249" customWidth="1"/>
    <col min="5" max="6" width="12.5703125" style="249" bestFit="1" customWidth="1"/>
    <col min="7" max="7" width="12.85546875" style="249" customWidth="1"/>
    <col min="8" max="16384" width="9.140625" style="249"/>
  </cols>
  <sheetData>
    <row r="1" spans="1:7" x14ac:dyDescent="0.25">
      <c r="A1" s="436" t="s">
        <v>445</v>
      </c>
      <c r="B1" s="436"/>
      <c r="C1" s="436"/>
      <c r="D1" s="436"/>
      <c r="E1" s="436"/>
      <c r="F1" s="436"/>
      <c r="G1" s="436"/>
    </row>
    <row r="3" spans="1:7" s="352" customFormat="1" ht="29.25" customHeight="1" x14ac:dyDescent="0.25">
      <c r="A3" s="437" t="s">
        <v>196</v>
      </c>
      <c r="B3" s="437"/>
      <c r="C3" s="437"/>
      <c r="D3" s="437"/>
      <c r="E3" s="437"/>
      <c r="F3" s="437"/>
      <c r="G3" s="437"/>
    </row>
    <row r="4" spans="1:7" ht="16.5" thickBot="1" x14ac:dyDescent="0.3">
      <c r="E4" s="436" t="s">
        <v>338</v>
      </c>
      <c r="F4" s="436"/>
      <c r="G4" s="436"/>
    </row>
    <row r="5" spans="1:7" s="352" customFormat="1" ht="48" thickBot="1" x14ac:dyDescent="0.3">
      <c r="A5" s="353" t="s">
        <v>197</v>
      </c>
      <c r="B5" s="354" t="s">
        <v>193</v>
      </c>
      <c r="C5" s="355" t="s">
        <v>194</v>
      </c>
      <c r="D5" s="355" t="s">
        <v>389</v>
      </c>
      <c r="E5" s="355" t="s">
        <v>395</v>
      </c>
      <c r="F5" s="356" t="s">
        <v>443</v>
      </c>
      <c r="G5" s="357" t="s">
        <v>444</v>
      </c>
    </row>
    <row r="6" spans="1:7" s="362" customFormat="1" ht="16.5" thickBot="1" x14ac:dyDescent="0.3">
      <c r="A6" s="358" t="s">
        <v>148</v>
      </c>
      <c r="B6" s="359" t="s">
        <v>171</v>
      </c>
      <c r="C6" s="359" t="s">
        <v>149</v>
      </c>
      <c r="D6" s="359" t="s">
        <v>150</v>
      </c>
      <c r="E6" s="359" t="s">
        <v>151</v>
      </c>
      <c r="F6" s="360" t="s">
        <v>190</v>
      </c>
      <c r="G6" s="361" t="s">
        <v>390</v>
      </c>
    </row>
    <row r="7" spans="1:7" x14ac:dyDescent="0.25">
      <c r="A7" s="363"/>
      <c r="B7" s="364"/>
      <c r="C7" s="364"/>
      <c r="D7" s="364"/>
      <c r="E7" s="364"/>
      <c r="F7" s="364"/>
      <c r="G7" s="364"/>
    </row>
    <row r="8" spans="1:7" x14ac:dyDescent="0.25">
      <c r="A8" s="65" t="s">
        <v>484</v>
      </c>
      <c r="B8" s="240">
        <v>0</v>
      </c>
      <c r="C8" s="365">
        <v>2019</v>
      </c>
      <c r="D8" s="240">
        <v>0</v>
      </c>
      <c r="E8" s="240">
        <v>0</v>
      </c>
      <c r="F8" s="240">
        <v>0</v>
      </c>
      <c r="G8" s="366">
        <f>B8-D8-E8</f>
        <v>0</v>
      </c>
    </row>
    <row r="9" spans="1:7" ht="31.5" x14ac:dyDescent="0.25">
      <c r="A9" s="367" t="s">
        <v>485</v>
      </c>
      <c r="B9" s="368">
        <v>500</v>
      </c>
      <c r="C9" s="369">
        <v>2019</v>
      </c>
      <c r="D9" s="225">
        <v>0</v>
      </c>
      <c r="E9" s="368">
        <v>500</v>
      </c>
      <c r="F9" s="368">
        <v>500</v>
      </c>
      <c r="G9" s="370">
        <f>B9-D9-E9</f>
        <v>0</v>
      </c>
    </row>
    <row r="10" spans="1:7" x14ac:dyDescent="0.25">
      <c r="A10" s="65" t="s">
        <v>371</v>
      </c>
      <c r="B10" s="371">
        <v>23859</v>
      </c>
      <c r="C10" s="372">
        <v>2019</v>
      </c>
      <c r="D10" s="243">
        <v>0</v>
      </c>
      <c r="E10" s="371">
        <v>23859</v>
      </c>
      <c r="F10" s="371">
        <v>23859</v>
      </c>
      <c r="G10" s="370">
        <v>0</v>
      </c>
    </row>
    <row r="11" spans="1:7" x14ac:dyDescent="0.25">
      <c r="A11" s="366" t="s">
        <v>486</v>
      </c>
      <c r="B11" s="371">
        <v>570</v>
      </c>
      <c r="C11" s="369">
        <v>2019</v>
      </c>
      <c r="D11" s="225">
        <v>0</v>
      </c>
      <c r="E11" s="371">
        <v>570</v>
      </c>
      <c r="F11" s="371">
        <v>570</v>
      </c>
      <c r="G11" s="370">
        <f t="shared" ref="G11" si="0">B11-D11-E11</f>
        <v>0</v>
      </c>
    </row>
    <row r="12" spans="1:7" x14ac:dyDescent="0.25">
      <c r="A12" s="366" t="s">
        <v>487</v>
      </c>
      <c r="B12" s="371">
        <v>230.7</v>
      </c>
      <c r="C12" s="372">
        <v>2019</v>
      </c>
      <c r="D12" s="243">
        <v>0</v>
      </c>
      <c r="E12" s="371">
        <v>230.7</v>
      </c>
      <c r="F12" s="371">
        <v>230.7</v>
      </c>
      <c r="G12" s="370">
        <v>0</v>
      </c>
    </row>
    <row r="13" spans="1:7" x14ac:dyDescent="0.25">
      <c r="A13" s="65" t="s">
        <v>336</v>
      </c>
      <c r="B13" s="225">
        <v>42570.487999999998</v>
      </c>
      <c r="C13" s="302">
        <v>2019</v>
      </c>
      <c r="D13" s="225">
        <v>0</v>
      </c>
      <c r="E13" s="225">
        <f>42570.488</f>
        <v>42570.487999999998</v>
      </c>
      <c r="F13" s="225">
        <f>42570.488+10629.921</f>
        <v>53200.409</v>
      </c>
      <c r="G13" s="370">
        <v>0</v>
      </c>
    </row>
    <row r="14" spans="1:7" x14ac:dyDescent="0.25">
      <c r="A14" s="366" t="s">
        <v>488</v>
      </c>
      <c r="B14" s="371">
        <v>2882.1</v>
      </c>
      <c r="C14" s="372">
        <v>2019</v>
      </c>
      <c r="D14" s="243">
        <v>0</v>
      </c>
      <c r="E14" s="371">
        <v>2882.1</v>
      </c>
      <c r="F14" s="371">
        <v>2882.1</v>
      </c>
      <c r="G14" s="370">
        <v>0</v>
      </c>
    </row>
    <row r="15" spans="1:7" x14ac:dyDescent="0.25">
      <c r="A15" s="65" t="s">
        <v>489</v>
      </c>
      <c r="B15" s="371">
        <v>0</v>
      </c>
      <c r="C15" s="372">
        <v>2019</v>
      </c>
      <c r="D15" s="243">
        <v>0</v>
      </c>
      <c r="E15" s="371">
        <v>0</v>
      </c>
      <c r="F15" s="371">
        <v>0</v>
      </c>
      <c r="G15" s="366">
        <f>SUM(G8:G14)</f>
        <v>0</v>
      </c>
    </row>
    <row r="16" spans="1:7" ht="16.5" thickBot="1" x14ac:dyDescent="0.3">
      <c r="A16" s="65" t="s">
        <v>490</v>
      </c>
      <c r="B16" s="371">
        <v>0</v>
      </c>
      <c r="C16" s="372">
        <v>2019</v>
      </c>
      <c r="D16" s="243">
        <v>0</v>
      </c>
      <c r="E16" s="371">
        <v>0</v>
      </c>
      <c r="F16" s="371">
        <v>0</v>
      </c>
      <c r="G16" s="366"/>
    </row>
    <row r="17" spans="1:7" s="377" customFormat="1" ht="16.5" thickBot="1" x14ac:dyDescent="0.3">
      <c r="A17" s="373" t="s">
        <v>195</v>
      </c>
      <c r="B17" s="374">
        <f>SUM(B8:B16)</f>
        <v>70612.288</v>
      </c>
      <c r="C17" s="375"/>
      <c r="D17" s="241">
        <f>SUM(D9:D16)</f>
        <v>0</v>
      </c>
      <c r="E17" s="374">
        <f>SUM(E8:E16)</f>
        <v>70612.288</v>
      </c>
      <c r="F17" s="303">
        <f>SUM(F8:F16)</f>
        <v>81242.209000000003</v>
      </c>
      <c r="G17" s="376"/>
    </row>
  </sheetData>
  <mergeCells count="3">
    <mergeCell ref="A1:G1"/>
    <mergeCell ref="A3:G3"/>
    <mergeCell ref="E4:G4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92"/>
  <sheetViews>
    <sheetView topLeftCell="A31" workbookViewId="0">
      <selection activeCell="E41" sqref="E41"/>
    </sheetView>
  </sheetViews>
  <sheetFormatPr defaultRowHeight="15.75" x14ac:dyDescent="0.25"/>
  <cols>
    <col min="1" max="1" width="6.85546875" style="12" customWidth="1"/>
    <col min="2" max="2" width="60.42578125" style="2" customWidth="1"/>
    <col min="3" max="3" width="17.7109375" style="166" customWidth="1"/>
    <col min="4" max="4" width="15.28515625" style="245" customWidth="1"/>
    <col min="5" max="16384" width="9.140625" style="2"/>
  </cols>
  <sheetData>
    <row r="1" spans="1:4" x14ac:dyDescent="0.25">
      <c r="A1" s="380" t="s">
        <v>397</v>
      </c>
      <c r="B1" s="380"/>
      <c r="C1" s="380"/>
      <c r="D1" s="380"/>
    </row>
    <row r="2" spans="1:4" s="1" customFormat="1" x14ac:dyDescent="0.25">
      <c r="A2" s="379" t="s">
        <v>0</v>
      </c>
      <c r="B2" s="379"/>
      <c r="C2" s="379"/>
      <c r="D2" s="379"/>
    </row>
    <row r="3" spans="1:4" s="1" customFormat="1" x14ac:dyDescent="0.25">
      <c r="A3" s="379" t="s">
        <v>398</v>
      </c>
      <c r="B3" s="379"/>
      <c r="C3" s="379"/>
      <c r="D3" s="379"/>
    </row>
    <row r="4" spans="1:4" s="1" customFormat="1" x14ac:dyDescent="0.25">
      <c r="A4" s="379" t="s">
        <v>1</v>
      </c>
      <c r="B4" s="379"/>
      <c r="C4" s="379"/>
      <c r="D4" s="379"/>
    </row>
    <row r="5" spans="1:4" s="1" customFormat="1" ht="16.5" thickBot="1" x14ac:dyDescent="0.3">
      <c r="A5" s="18" t="s">
        <v>86</v>
      </c>
      <c r="C5" s="167"/>
      <c r="D5" s="234"/>
    </row>
    <row r="6" spans="1:4" s="3" customFormat="1" ht="16.5" thickBot="1" x14ac:dyDescent="0.3">
      <c r="A6" s="5">
        <v>1</v>
      </c>
      <c r="B6" s="6">
        <v>2</v>
      </c>
      <c r="C6" s="201">
        <v>3</v>
      </c>
      <c r="D6" s="235">
        <v>4</v>
      </c>
    </row>
    <row r="7" spans="1:4" s="1" customFormat="1" ht="32.25" thickBot="1" x14ac:dyDescent="0.3">
      <c r="A7" s="7" t="s">
        <v>4</v>
      </c>
      <c r="B7" s="6" t="s">
        <v>2</v>
      </c>
      <c r="C7" s="203" t="s">
        <v>395</v>
      </c>
      <c r="D7" s="236" t="s">
        <v>396</v>
      </c>
    </row>
    <row r="8" spans="1:4" s="1" customFormat="1" ht="16.5" thickBot="1" x14ac:dyDescent="0.3">
      <c r="A8" s="14" t="s">
        <v>3</v>
      </c>
      <c r="B8" s="9" t="s">
        <v>16</v>
      </c>
      <c r="C8" s="160">
        <f>SUM(C9:C14)</f>
        <v>245675.06999999998</v>
      </c>
      <c r="D8" s="237">
        <f>SUM(D9:D14)</f>
        <v>258283.06999999998</v>
      </c>
    </row>
    <row r="9" spans="1:4" x14ac:dyDescent="0.25">
      <c r="A9" s="15" t="s">
        <v>6</v>
      </c>
      <c r="B9" s="8" t="s">
        <v>30</v>
      </c>
      <c r="C9" s="215">
        <v>93434.69</v>
      </c>
      <c r="D9" s="238">
        <f>93434.69</f>
        <v>93434.69</v>
      </c>
    </row>
    <row r="10" spans="1:4" x14ac:dyDescent="0.25">
      <c r="A10" s="16" t="s">
        <v>7</v>
      </c>
      <c r="B10" s="4" t="s">
        <v>31</v>
      </c>
      <c r="C10" s="215">
        <v>76435.8</v>
      </c>
      <c r="D10" s="238">
        <v>76435.8</v>
      </c>
    </row>
    <row r="11" spans="1:4" x14ac:dyDescent="0.25">
      <c r="A11" s="16" t="s">
        <v>8</v>
      </c>
      <c r="B11" s="4" t="s">
        <v>316</v>
      </c>
      <c r="C11" s="215">
        <v>71460.679999999993</v>
      </c>
      <c r="D11" s="238">
        <f>C11</f>
        <v>71460.679999999993</v>
      </c>
    </row>
    <row r="12" spans="1:4" x14ac:dyDescent="0.25">
      <c r="A12" s="16" t="s">
        <v>9</v>
      </c>
      <c r="B12" s="4" t="s">
        <v>33</v>
      </c>
      <c r="C12" s="215">
        <v>4343.8999999999996</v>
      </c>
      <c r="D12" s="238">
        <v>4343.8999999999996</v>
      </c>
    </row>
    <row r="13" spans="1:4" x14ac:dyDescent="0.25">
      <c r="A13" s="16" t="s">
        <v>10</v>
      </c>
      <c r="B13" s="4" t="s">
        <v>34</v>
      </c>
      <c r="C13" s="215"/>
      <c r="D13" s="225">
        <v>12608</v>
      </c>
    </row>
    <row r="14" spans="1:4" ht="16.5" thickBot="1" x14ac:dyDescent="0.3">
      <c r="A14" s="17" t="s">
        <v>11</v>
      </c>
      <c r="B14" s="10" t="s">
        <v>354</v>
      </c>
      <c r="C14" s="215"/>
      <c r="D14" s="225"/>
    </row>
    <row r="15" spans="1:4" s="1" customFormat="1" ht="16.5" thickBot="1" x14ac:dyDescent="0.3">
      <c r="A15" s="14" t="s">
        <v>5</v>
      </c>
      <c r="B15" s="9" t="s">
        <v>39</v>
      </c>
      <c r="C15" s="168">
        <f>SUM(C16:C17)</f>
        <v>90401.597999999998</v>
      </c>
      <c r="D15" s="237">
        <f>SUM(D16:D17)</f>
        <v>106008.22199999999</v>
      </c>
    </row>
    <row r="16" spans="1:4" x14ac:dyDescent="0.25">
      <c r="A16" s="15" t="s">
        <v>12</v>
      </c>
      <c r="B16" s="8" t="s">
        <v>36</v>
      </c>
      <c r="C16" s="215"/>
      <c r="D16" s="225"/>
    </row>
    <row r="17" spans="1:4" x14ac:dyDescent="0.25">
      <c r="A17" s="16" t="s">
        <v>13</v>
      </c>
      <c r="B17" s="4" t="s">
        <v>37</v>
      </c>
      <c r="C17" s="215">
        <v>90401.597999999998</v>
      </c>
      <c r="D17" s="225">
        <v>106008.22199999999</v>
      </c>
    </row>
    <row r="18" spans="1:4" ht="16.5" thickBot="1" x14ac:dyDescent="0.3">
      <c r="A18" s="17" t="s">
        <v>14</v>
      </c>
      <c r="B18" s="10" t="s">
        <v>38</v>
      </c>
      <c r="C18" s="215"/>
      <c r="D18" s="225"/>
    </row>
    <row r="19" spans="1:4" s="1" customFormat="1" ht="16.5" thickBot="1" x14ac:dyDescent="0.3">
      <c r="A19" s="14" t="s">
        <v>15</v>
      </c>
      <c r="B19" s="9" t="s">
        <v>43</v>
      </c>
      <c r="C19" s="168">
        <f>SUM(C20:C21)</f>
        <v>2000</v>
      </c>
      <c r="D19" s="237">
        <f>SUM(D20:D21)</f>
        <v>2000</v>
      </c>
    </row>
    <row r="20" spans="1:4" x14ac:dyDescent="0.25">
      <c r="A20" s="15" t="s">
        <v>17</v>
      </c>
      <c r="B20" s="8" t="s">
        <v>40</v>
      </c>
      <c r="C20" s="215"/>
      <c r="D20" s="225"/>
    </row>
    <row r="21" spans="1:4" x14ac:dyDescent="0.25">
      <c r="A21" s="16" t="s">
        <v>18</v>
      </c>
      <c r="B21" s="4" t="s">
        <v>41</v>
      </c>
      <c r="C21" s="215">
        <v>2000</v>
      </c>
      <c r="D21" s="225">
        <v>2000</v>
      </c>
    </row>
    <row r="22" spans="1:4" ht="16.5" thickBot="1" x14ac:dyDescent="0.3">
      <c r="A22" s="17" t="s">
        <v>19</v>
      </c>
      <c r="B22" s="10" t="s">
        <v>42</v>
      </c>
      <c r="C22" s="215"/>
      <c r="D22" s="225"/>
    </row>
    <row r="23" spans="1:4" s="1" customFormat="1" ht="16.5" thickBot="1" x14ac:dyDescent="0.3">
      <c r="A23" s="14" t="s">
        <v>20</v>
      </c>
      <c r="B23" s="9" t="s">
        <v>21</v>
      </c>
      <c r="C23" s="168">
        <f>C24+C27+C28+C29</f>
        <v>96372.648000000001</v>
      </c>
      <c r="D23" s="237">
        <f>D24+D27+D28+D29</f>
        <v>90106.45</v>
      </c>
    </row>
    <row r="24" spans="1:4" x14ac:dyDescent="0.25">
      <c r="A24" s="15" t="s">
        <v>22</v>
      </c>
      <c r="B24" s="8" t="s">
        <v>44</v>
      </c>
      <c r="C24" s="215">
        <f>SUM(C25:C26)</f>
        <v>83990.648000000001</v>
      </c>
      <c r="D24" s="225">
        <f>SUM(D25:D26)</f>
        <v>77724.45</v>
      </c>
    </row>
    <row r="25" spans="1:4" x14ac:dyDescent="0.25">
      <c r="A25" s="16" t="s">
        <v>23</v>
      </c>
      <c r="B25" s="4" t="s">
        <v>491</v>
      </c>
      <c r="C25" s="215">
        <v>50</v>
      </c>
      <c r="D25" s="238">
        <v>50</v>
      </c>
    </row>
    <row r="26" spans="1:4" x14ac:dyDescent="0.25">
      <c r="A26" s="16" t="s">
        <v>24</v>
      </c>
      <c r="B26" s="4" t="s">
        <v>46</v>
      </c>
      <c r="C26" s="215">
        <v>83940.648000000001</v>
      </c>
      <c r="D26" s="238">
        <v>77674.45</v>
      </c>
    </row>
    <row r="27" spans="1:4" x14ac:dyDescent="0.25">
      <c r="A27" s="16" t="s">
        <v>26</v>
      </c>
      <c r="B27" s="4" t="s">
        <v>47</v>
      </c>
      <c r="C27" s="215">
        <v>11000</v>
      </c>
      <c r="D27" s="238">
        <v>11000</v>
      </c>
    </row>
    <row r="28" spans="1:4" x14ac:dyDescent="0.25">
      <c r="A28" s="16" t="s">
        <v>27</v>
      </c>
      <c r="B28" s="4" t="s">
        <v>48</v>
      </c>
      <c r="C28" s="215">
        <v>2</v>
      </c>
      <c r="D28" s="238">
        <v>2</v>
      </c>
    </row>
    <row r="29" spans="1:4" ht="16.5" thickBot="1" x14ac:dyDescent="0.3">
      <c r="A29" s="17" t="s">
        <v>28</v>
      </c>
      <c r="B29" s="10" t="s">
        <v>49</v>
      </c>
      <c r="C29" s="215">
        <v>1380</v>
      </c>
      <c r="D29" s="238">
        <v>1380</v>
      </c>
    </row>
    <row r="30" spans="1:4" s="1" customFormat="1" ht="16.5" thickBot="1" x14ac:dyDescent="0.3">
      <c r="A30" s="14" t="s">
        <v>29</v>
      </c>
      <c r="B30" s="188" t="s">
        <v>50</v>
      </c>
      <c r="C30" s="169">
        <v>32642.5</v>
      </c>
      <c r="D30" s="237">
        <v>32642.5</v>
      </c>
    </row>
    <row r="31" spans="1:4" s="1" customFormat="1" ht="16.5" thickBot="1" x14ac:dyDescent="0.3">
      <c r="A31" s="19" t="s">
        <v>51</v>
      </c>
      <c r="B31" s="20" t="s">
        <v>52</v>
      </c>
      <c r="C31" s="168"/>
      <c r="D31" s="237"/>
    </row>
    <row r="32" spans="1:4" s="1" customFormat="1" ht="16.5" thickBot="1" x14ac:dyDescent="0.3">
      <c r="A32" s="14" t="s">
        <v>53</v>
      </c>
      <c r="B32" s="9" t="s">
        <v>160</v>
      </c>
      <c r="C32" s="168"/>
      <c r="D32" s="237"/>
    </row>
    <row r="33" spans="1:4" s="1" customFormat="1" ht="16.5" thickBot="1" x14ac:dyDescent="0.3">
      <c r="A33" s="14" t="s">
        <v>55</v>
      </c>
      <c r="B33" s="9" t="s">
        <v>56</v>
      </c>
      <c r="C33" s="168"/>
      <c r="D33" s="237"/>
    </row>
    <row r="34" spans="1:4" s="1" customFormat="1" ht="16.5" thickBot="1" x14ac:dyDescent="0.3">
      <c r="A34" s="14" t="s">
        <v>57</v>
      </c>
      <c r="B34" s="9" t="s">
        <v>136</v>
      </c>
      <c r="C34" s="168">
        <f>C8+C15+C19+C23+C30+C31+C32+C33</f>
        <v>467091.81599999993</v>
      </c>
      <c r="D34" s="237">
        <f>D8+D15+D19+D23+D30+D31+D32+D33</f>
        <v>489040.24199999997</v>
      </c>
    </row>
    <row r="35" spans="1:4" s="1" customFormat="1" ht="16.5" thickBot="1" x14ac:dyDescent="0.3">
      <c r="A35" s="14" t="s">
        <v>58</v>
      </c>
      <c r="B35" s="9" t="s">
        <v>59</v>
      </c>
      <c r="C35" s="168">
        <f>SUM(C36:C38)</f>
        <v>0</v>
      </c>
      <c r="D35" s="237">
        <f>SUM(D36:D38)</f>
        <v>0</v>
      </c>
    </row>
    <row r="36" spans="1:4" x14ac:dyDescent="0.25">
      <c r="A36" s="15" t="s">
        <v>60</v>
      </c>
      <c r="B36" s="8" t="s">
        <v>61</v>
      </c>
      <c r="C36" s="215"/>
      <c r="D36" s="239"/>
    </row>
    <row r="37" spans="1:4" x14ac:dyDescent="0.25">
      <c r="A37" s="16" t="s">
        <v>62</v>
      </c>
      <c r="B37" s="4" t="s">
        <v>63</v>
      </c>
      <c r="C37" s="215"/>
      <c r="D37" s="240"/>
    </row>
    <row r="38" spans="1:4" ht="16.5" thickBot="1" x14ac:dyDescent="0.3">
      <c r="A38" s="17" t="s">
        <v>64</v>
      </c>
      <c r="B38" s="10" t="s">
        <v>65</v>
      </c>
      <c r="C38" s="215"/>
      <c r="D38" s="240"/>
    </row>
    <row r="39" spans="1:4" s="1" customFormat="1" ht="16.5" thickBot="1" x14ac:dyDescent="0.3">
      <c r="A39" s="14" t="s">
        <v>66</v>
      </c>
      <c r="B39" s="9" t="s">
        <v>67</v>
      </c>
      <c r="C39" s="168"/>
      <c r="D39" s="241"/>
    </row>
    <row r="40" spans="1:4" s="1" customFormat="1" ht="16.5" thickBot="1" x14ac:dyDescent="0.3">
      <c r="A40" s="14" t="s">
        <v>68</v>
      </c>
      <c r="B40" s="9" t="s">
        <v>391</v>
      </c>
      <c r="C40" s="168">
        <v>17671.473000000002</v>
      </c>
      <c r="D40" s="241">
        <v>18303.97</v>
      </c>
    </row>
    <row r="41" spans="1:4" s="1" customFormat="1" ht="16.5" thickBot="1" x14ac:dyDescent="0.3">
      <c r="A41" s="14" t="s">
        <v>70</v>
      </c>
      <c r="B41" s="9" t="s">
        <v>71</v>
      </c>
      <c r="C41" s="168"/>
      <c r="D41" s="242"/>
    </row>
    <row r="42" spans="1:4" x14ac:dyDescent="0.25">
      <c r="A42" s="15" t="s">
        <v>72</v>
      </c>
      <c r="B42" s="8" t="s">
        <v>73</v>
      </c>
      <c r="C42" s="215"/>
      <c r="D42" s="225"/>
    </row>
    <row r="43" spans="1:4" ht="16.5" thickBot="1" x14ac:dyDescent="0.3">
      <c r="A43" s="17" t="s">
        <v>74</v>
      </c>
      <c r="B43" s="10" t="s">
        <v>75</v>
      </c>
      <c r="C43" s="215"/>
      <c r="D43" s="243"/>
    </row>
    <row r="44" spans="1:4" s="1" customFormat="1" ht="16.5" thickBot="1" x14ac:dyDescent="0.3">
      <c r="A44" s="14" t="s">
        <v>76</v>
      </c>
      <c r="B44" s="9" t="s">
        <v>77</v>
      </c>
      <c r="C44" s="202">
        <v>0</v>
      </c>
      <c r="D44" s="237">
        <v>0</v>
      </c>
    </row>
    <row r="45" spans="1:4" s="1" customFormat="1" ht="16.5" thickBot="1" x14ac:dyDescent="0.3">
      <c r="A45" s="14" t="s">
        <v>78</v>
      </c>
      <c r="B45" s="9" t="s">
        <v>79</v>
      </c>
      <c r="C45" s="202">
        <v>0</v>
      </c>
      <c r="D45" s="237">
        <v>0</v>
      </c>
    </row>
    <row r="46" spans="1:4" s="1" customFormat="1" ht="16.5" thickBot="1" x14ac:dyDescent="0.3">
      <c r="A46" s="14" t="s">
        <v>80</v>
      </c>
      <c r="B46" s="9" t="s">
        <v>81</v>
      </c>
      <c r="C46" s="202">
        <v>0</v>
      </c>
      <c r="D46" s="237">
        <v>0</v>
      </c>
    </row>
    <row r="47" spans="1:4" s="1" customFormat="1" ht="16.5" thickBot="1" x14ac:dyDescent="0.3">
      <c r="A47" s="14" t="s">
        <v>82</v>
      </c>
      <c r="B47" s="9" t="s">
        <v>83</v>
      </c>
      <c r="C47" s="168">
        <f>C35+C39+C40+C41+C44+C45+C46</f>
        <v>17671.473000000002</v>
      </c>
      <c r="D47" s="237">
        <f>D35+D39+D40+D41+D44+D45+D46</f>
        <v>18303.97</v>
      </c>
    </row>
    <row r="48" spans="1:4" s="1" customFormat="1" ht="32.25" thickBot="1" x14ac:dyDescent="0.3">
      <c r="A48" s="14" t="s">
        <v>84</v>
      </c>
      <c r="B48" s="11" t="s">
        <v>85</v>
      </c>
      <c r="C48" s="220">
        <f>C34+C47</f>
        <v>484763.28899999993</v>
      </c>
      <c r="D48" s="244">
        <f>D34+D47</f>
        <v>507344.21199999994</v>
      </c>
    </row>
    <row r="50" spans="1:4" x14ac:dyDescent="0.25">
      <c r="A50" s="379" t="s">
        <v>87</v>
      </c>
      <c r="B50" s="379"/>
      <c r="C50" s="379"/>
    </row>
    <row r="51" spans="1:4" ht="16.5" thickBot="1" x14ac:dyDescent="0.3">
      <c r="A51" s="18" t="s">
        <v>88</v>
      </c>
      <c r="B51" s="1"/>
      <c r="C51" s="167"/>
    </row>
    <row r="52" spans="1:4" ht="32.25" thickBot="1" x14ac:dyDescent="0.3">
      <c r="A52" s="24" t="s">
        <v>4</v>
      </c>
      <c r="B52" s="9" t="s">
        <v>89</v>
      </c>
      <c r="C52" s="203" t="s">
        <v>395</v>
      </c>
      <c r="D52" s="236" t="s">
        <v>396</v>
      </c>
    </row>
    <row r="53" spans="1:4" ht="16.5" thickBot="1" x14ac:dyDescent="0.3">
      <c r="A53" s="14" t="s">
        <v>3</v>
      </c>
      <c r="B53" s="9" t="s">
        <v>107</v>
      </c>
      <c r="C53" s="160">
        <f>C54+C55+C56+C57+C58+C64</f>
        <v>460498.08599999995</v>
      </c>
      <c r="D53" s="237">
        <f>D54+D55+D56+D57+D58+D64</f>
        <v>483379.00900000002</v>
      </c>
    </row>
    <row r="54" spans="1:4" x14ac:dyDescent="0.25">
      <c r="A54" s="21" t="s">
        <v>6</v>
      </c>
      <c r="B54" s="8" t="s">
        <v>90</v>
      </c>
      <c r="C54" s="162">
        <v>263738.98599999998</v>
      </c>
      <c r="D54" s="225">
        <v>283075.58600000001</v>
      </c>
    </row>
    <row r="55" spans="1:4" x14ac:dyDescent="0.25">
      <c r="A55" s="22" t="s">
        <v>7</v>
      </c>
      <c r="B55" s="4" t="s">
        <v>91</v>
      </c>
      <c r="C55" s="162">
        <v>44970.728000000003</v>
      </c>
      <c r="D55" s="225">
        <v>47354.777000000002</v>
      </c>
    </row>
    <row r="56" spans="1:4" x14ac:dyDescent="0.25">
      <c r="A56" s="22" t="s">
        <v>8</v>
      </c>
      <c r="B56" s="4" t="s">
        <v>92</v>
      </c>
      <c r="C56" s="162">
        <v>130777.272</v>
      </c>
      <c r="D56" s="225">
        <v>131520.42800000001</v>
      </c>
    </row>
    <row r="57" spans="1:4" x14ac:dyDescent="0.25">
      <c r="A57" s="22" t="s">
        <v>9</v>
      </c>
      <c r="B57" s="4" t="s">
        <v>93</v>
      </c>
      <c r="C57" s="162">
        <v>2000</v>
      </c>
      <c r="D57" s="225">
        <v>2000</v>
      </c>
    </row>
    <row r="58" spans="1:4" x14ac:dyDescent="0.25">
      <c r="A58" s="22" t="s">
        <v>10</v>
      </c>
      <c r="B58" s="4" t="s">
        <v>94</v>
      </c>
      <c r="C58" s="162">
        <f>SUM(C59:C63)</f>
        <v>19011.099999999999</v>
      </c>
      <c r="D58" s="225">
        <f>SUM(D59:D63)</f>
        <v>19428.218000000001</v>
      </c>
    </row>
    <row r="59" spans="1:4" x14ac:dyDescent="0.25">
      <c r="A59" s="22" t="s">
        <v>11</v>
      </c>
      <c r="B59" s="23" t="s">
        <v>366</v>
      </c>
      <c r="C59" s="162"/>
      <c r="D59" s="225">
        <v>169.22399999999999</v>
      </c>
    </row>
    <row r="60" spans="1:4" x14ac:dyDescent="0.25">
      <c r="A60" s="22" t="s">
        <v>96</v>
      </c>
      <c r="B60" s="4" t="s">
        <v>102</v>
      </c>
      <c r="C60" s="162"/>
      <c r="D60" s="225"/>
    </row>
    <row r="61" spans="1:4" x14ac:dyDescent="0.25">
      <c r="A61" s="22" t="s">
        <v>97</v>
      </c>
      <c r="B61" s="4" t="s">
        <v>137</v>
      </c>
      <c r="C61" s="162"/>
      <c r="D61" s="225"/>
    </row>
    <row r="62" spans="1:4" x14ac:dyDescent="0.25">
      <c r="A62" s="22" t="s">
        <v>98</v>
      </c>
      <c r="B62" s="4" t="s">
        <v>138</v>
      </c>
      <c r="C62" s="162">
        <v>2903</v>
      </c>
      <c r="D62" s="225">
        <v>3150.8939999999998</v>
      </c>
    </row>
    <row r="63" spans="1:4" x14ac:dyDescent="0.25">
      <c r="A63" s="22" t="s">
        <v>99</v>
      </c>
      <c r="B63" s="4" t="s">
        <v>139</v>
      </c>
      <c r="C63" s="162">
        <v>16108.1</v>
      </c>
      <c r="D63" s="225">
        <v>16108.1</v>
      </c>
    </row>
    <row r="64" spans="1:4" x14ac:dyDescent="0.25">
      <c r="A64" s="22" t="s">
        <v>100</v>
      </c>
      <c r="B64" s="4" t="s">
        <v>101</v>
      </c>
      <c r="C64" s="162">
        <f>SUM(C65:C66)</f>
        <v>0</v>
      </c>
      <c r="D64" s="225"/>
    </row>
    <row r="65" spans="1:4" x14ac:dyDescent="0.25">
      <c r="A65" s="22" t="s">
        <v>103</v>
      </c>
      <c r="B65" s="4" t="s">
        <v>104</v>
      </c>
      <c r="C65" s="162"/>
      <c r="D65" s="225"/>
    </row>
    <row r="66" spans="1:4" ht="16.5" thickBot="1" x14ac:dyDescent="0.3">
      <c r="A66" s="25" t="s">
        <v>105</v>
      </c>
      <c r="B66" s="10" t="s">
        <v>106</v>
      </c>
      <c r="C66" s="162"/>
      <c r="D66" s="225"/>
    </row>
    <row r="67" spans="1:4" ht="16.5" thickBot="1" x14ac:dyDescent="0.3">
      <c r="A67" s="14" t="s">
        <v>5</v>
      </c>
      <c r="B67" s="9" t="s">
        <v>120</v>
      </c>
      <c r="C67" s="168">
        <f>C68+C70+C72</f>
        <v>8913.880000000001</v>
      </c>
      <c r="D67" s="237">
        <f>D68+D70+D72</f>
        <v>8613.880000000001</v>
      </c>
    </row>
    <row r="68" spans="1:4" x14ac:dyDescent="0.25">
      <c r="A68" s="21" t="s">
        <v>12</v>
      </c>
      <c r="B68" s="8" t="s">
        <v>108</v>
      </c>
      <c r="C68" s="162">
        <v>6613.18</v>
      </c>
      <c r="D68" s="225">
        <v>6313.18</v>
      </c>
    </row>
    <row r="69" spans="1:4" x14ac:dyDescent="0.25">
      <c r="A69" s="22" t="s">
        <v>109</v>
      </c>
      <c r="B69" s="4" t="s">
        <v>110</v>
      </c>
      <c r="C69" s="162"/>
      <c r="D69" s="225"/>
    </row>
    <row r="70" spans="1:4" x14ac:dyDescent="0.25">
      <c r="A70" s="22" t="s">
        <v>14</v>
      </c>
      <c r="B70" s="4" t="s">
        <v>111</v>
      </c>
      <c r="C70" s="162">
        <v>1300.7</v>
      </c>
      <c r="D70" s="225">
        <v>1300.7</v>
      </c>
    </row>
    <row r="71" spans="1:4" x14ac:dyDescent="0.25">
      <c r="A71" s="22" t="s">
        <v>112</v>
      </c>
      <c r="B71" s="4" t="s">
        <v>113</v>
      </c>
      <c r="C71" s="162"/>
      <c r="D71" s="225"/>
    </row>
    <row r="72" spans="1:4" x14ac:dyDescent="0.25">
      <c r="A72" s="22" t="s">
        <v>114</v>
      </c>
      <c r="B72" s="4" t="s">
        <v>115</v>
      </c>
      <c r="C72" s="162">
        <f>SUM(C73:C74)</f>
        <v>1000</v>
      </c>
      <c r="D72" s="225">
        <v>1000</v>
      </c>
    </row>
    <row r="73" spans="1:4" x14ac:dyDescent="0.25">
      <c r="A73" s="22" t="s">
        <v>116</v>
      </c>
      <c r="B73" s="4" t="s">
        <v>117</v>
      </c>
      <c r="C73" s="162"/>
      <c r="D73" s="225"/>
    </row>
    <row r="74" spans="1:4" ht="16.5" thickBot="1" x14ac:dyDescent="0.3">
      <c r="A74" s="25" t="s">
        <v>118</v>
      </c>
      <c r="B74" s="10" t="s">
        <v>119</v>
      </c>
      <c r="C74" s="162">
        <v>1000</v>
      </c>
      <c r="D74" s="225"/>
    </row>
    <row r="75" spans="1:4" ht="16.5" thickBot="1" x14ac:dyDescent="0.3">
      <c r="A75" s="14" t="s">
        <v>15</v>
      </c>
      <c r="B75" s="9" t="s">
        <v>121</v>
      </c>
      <c r="C75" s="168">
        <f>C53+C67</f>
        <v>469411.96599999996</v>
      </c>
      <c r="D75" s="237">
        <f>D53+D67</f>
        <v>491992.88900000002</v>
      </c>
    </row>
    <row r="76" spans="1:4" ht="16.5" thickBot="1" x14ac:dyDescent="0.3">
      <c r="A76" s="14" t="s">
        <v>20</v>
      </c>
      <c r="B76" s="9" t="s">
        <v>125</v>
      </c>
      <c r="C76" s="202">
        <f>SUM(C77:C79)</f>
        <v>5320</v>
      </c>
      <c r="D76" s="202">
        <f>SUM(D77:D79)</f>
        <v>5320</v>
      </c>
    </row>
    <row r="77" spans="1:4" x14ac:dyDescent="0.25">
      <c r="A77" s="21" t="s">
        <v>22</v>
      </c>
      <c r="B77" s="8" t="s">
        <v>122</v>
      </c>
      <c r="C77" s="162">
        <v>5320</v>
      </c>
      <c r="D77" s="240">
        <v>5320</v>
      </c>
    </row>
    <row r="78" spans="1:4" x14ac:dyDescent="0.25">
      <c r="A78" s="22" t="s">
        <v>26</v>
      </c>
      <c r="B78" s="4" t="s">
        <v>123</v>
      </c>
      <c r="C78" s="162"/>
      <c r="D78" s="225"/>
    </row>
    <row r="79" spans="1:4" ht="16.5" thickBot="1" x14ac:dyDescent="0.3">
      <c r="A79" s="25" t="s">
        <v>27</v>
      </c>
      <c r="B79" s="10" t="s">
        <v>124</v>
      </c>
      <c r="C79" s="162"/>
      <c r="D79" s="243"/>
    </row>
    <row r="80" spans="1:4" ht="16.5" thickBot="1" x14ac:dyDescent="0.3">
      <c r="A80" s="28" t="s">
        <v>29</v>
      </c>
      <c r="B80" s="29" t="s">
        <v>126</v>
      </c>
      <c r="C80" s="169"/>
      <c r="D80" s="246"/>
    </row>
    <row r="81" spans="1:4" ht="16.5" thickBot="1" x14ac:dyDescent="0.3">
      <c r="A81" s="14" t="s">
        <v>51</v>
      </c>
      <c r="B81" s="9" t="s">
        <v>129</v>
      </c>
      <c r="C81" s="168">
        <f>C82</f>
        <v>10031.323</v>
      </c>
      <c r="D81" s="237">
        <f>D82</f>
        <v>10031.323</v>
      </c>
    </row>
    <row r="82" spans="1:4" ht="16.5" thickBot="1" x14ac:dyDescent="0.3">
      <c r="A82" s="26" t="s">
        <v>127</v>
      </c>
      <c r="B82" s="27" t="s">
        <v>128</v>
      </c>
      <c r="C82" s="165">
        <v>10031.323</v>
      </c>
      <c r="D82" s="247">
        <v>10031.323</v>
      </c>
    </row>
    <row r="83" spans="1:4" ht="16.5" thickBot="1" x14ac:dyDescent="0.3">
      <c r="A83" s="14" t="s">
        <v>53</v>
      </c>
      <c r="B83" s="9" t="s">
        <v>130</v>
      </c>
      <c r="C83" s="168"/>
      <c r="D83" s="246"/>
    </row>
    <row r="84" spans="1:4" ht="16.5" thickBot="1" x14ac:dyDescent="0.3">
      <c r="A84" s="14" t="s">
        <v>55</v>
      </c>
      <c r="B84" s="9" t="s">
        <v>131</v>
      </c>
      <c r="C84" s="168"/>
      <c r="D84" s="246"/>
    </row>
    <row r="85" spans="1:4" ht="16.5" thickBot="1" x14ac:dyDescent="0.3">
      <c r="A85" s="14" t="s">
        <v>132</v>
      </c>
      <c r="B85" s="9" t="s">
        <v>133</v>
      </c>
      <c r="C85" s="168"/>
      <c r="D85" s="246"/>
    </row>
    <row r="86" spans="1:4" ht="16.5" thickBot="1" x14ac:dyDescent="0.3">
      <c r="A86" s="14" t="s">
        <v>58</v>
      </c>
      <c r="B86" s="9" t="s">
        <v>134</v>
      </c>
      <c r="C86" s="168">
        <f>C76+C80+C81+C83+C84+C85</f>
        <v>15351.323</v>
      </c>
      <c r="D86" s="237">
        <f>D76+D80+D81+D83+D84+D85</f>
        <v>15351.323</v>
      </c>
    </row>
    <row r="87" spans="1:4" ht="16.5" thickBot="1" x14ac:dyDescent="0.3">
      <c r="A87" s="14" t="s">
        <v>66</v>
      </c>
      <c r="B87" s="9" t="s">
        <v>135</v>
      </c>
      <c r="C87" s="168">
        <f>C75+C86</f>
        <v>484763.28899999993</v>
      </c>
      <c r="D87" s="237">
        <f>D75+D86</f>
        <v>507344.212</v>
      </c>
    </row>
    <row r="89" spans="1:4" s="30" customFormat="1" ht="29.25" customHeight="1" x14ac:dyDescent="0.25">
      <c r="A89" s="378" t="s">
        <v>140</v>
      </c>
      <c r="B89" s="378"/>
      <c r="C89" s="378"/>
      <c r="D89" s="248"/>
    </row>
    <row r="90" spans="1:4" ht="16.5" thickBot="1" x14ac:dyDescent="0.3">
      <c r="A90" s="18" t="s">
        <v>141</v>
      </c>
      <c r="B90" s="1"/>
      <c r="C90" s="159"/>
    </row>
    <row r="91" spans="1:4" ht="32.25" thickBot="1" x14ac:dyDescent="0.3">
      <c r="A91" s="14" t="s">
        <v>3</v>
      </c>
      <c r="B91" s="11" t="s">
        <v>142</v>
      </c>
      <c r="C91" s="202">
        <f>C34-C75</f>
        <v>-2320.1500000000233</v>
      </c>
      <c r="D91" s="237">
        <f>D34-D75</f>
        <v>-2952.6470000000554</v>
      </c>
    </row>
    <row r="92" spans="1:4" ht="32.25" thickBot="1" x14ac:dyDescent="0.3">
      <c r="A92" s="14" t="s">
        <v>5</v>
      </c>
      <c r="B92" s="11" t="s">
        <v>143</v>
      </c>
      <c r="C92" s="202">
        <f>C47-C86</f>
        <v>2320.1500000000015</v>
      </c>
      <c r="D92" s="237">
        <f>D47-D86</f>
        <v>2952.6470000000008</v>
      </c>
    </row>
  </sheetData>
  <mergeCells count="6">
    <mergeCell ref="A89:C89"/>
    <mergeCell ref="A50:C50"/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92"/>
  <sheetViews>
    <sheetView topLeftCell="A61" workbookViewId="0">
      <selection activeCell="D64" sqref="D64"/>
    </sheetView>
  </sheetViews>
  <sheetFormatPr defaultRowHeight="15.75" x14ac:dyDescent="0.25"/>
  <cols>
    <col min="1" max="1" width="6.85546875" style="12" customWidth="1"/>
    <col min="2" max="2" width="60.42578125" style="2" customWidth="1"/>
    <col min="3" max="3" width="15.28515625" style="166" customWidth="1"/>
    <col min="4" max="4" width="15.7109375" style="2" customWidth="1"/>
    <col min="5" max="16384" width="9.140625" style="2"/>
  </cols>
  <sheetData>
    <row r="1" spans="1:4" x14ac:dyDescent="0.25">
      <c r="A1" s="380" t="s">
        <v>408</v>
      </c>
      <c r="B1" s="380"/>
      <c r="C1" s="380"/>
      <c r="D1" s="380"/>
    </row>
    <row r="2" spans="1:4" s="1" customFormat="1" x14ac:dyDescent="0.25">
      <c r="A2" s="379" t="s">
        <v>0</v>
      </c>
      <c r="B2" s="379"/>
      <c r="C2" s="379"/>
      <c r="D2" s="379"/>
    </row>
    <row r="3" spans="1:4" s="1" customFormat="1" ht="44.25" customHeight="1" x14ac:dyDescent="0.25">
      <c r="A3" s="381" t="s">
        <v>409</v>
      </c>
      <c r="B3" s="381"/>
      <c r="C3" s="381"/>
      <c r="D3" s="381"/>
    </row>
    <row r="4" spans="1:4" s="1" customFormat="1" x14ac:dyDescent="0.25">
      <c r="A4" s="379" t="s">
        <v>1</v>
      </c>
      <c r="B4" s="379"/>
      <c r="C4" s="379"/>
      <c r="D4" s="379"/>
    </row>
    <row r="5" spans="1:4" s="1" customFormat="1" ht="16.5" thickBot="1" x14ac:dyDescent="0.3">
      <c r="A5" s="18" t="s">
        <v>86</v>
      </c>
      <c r="C5" s="159"/>
    </row>
    <row r="6" spans="1:4" s="3" customFormat="1" ht="16.5" thickBot="1" x14ac:dyDescent="0.3">
      <c r="A6" s="5">
        <v>1</v>
      </c>
      <c r="B6" s="6">
        <v>2</v>
      </c>
      <c r="C6" s="201">
        <v>3</v>
      </c>
      <c r="D6" s="204">
        <v>4</v>
      </c>
    </row>
    <row r="7" spans="1:4" s="1" customFormat="1" ht="32.25" thickBot="1" x14ac:dyDescent="0.3">
      <c r="A7" s="7" t="s">
        <v>4</v>
      </c>
      <c r="B7" s="6" t="s">
        <v>2</v>
      </c>
      <c r="C7" s="203" t="s">
        <v>395</v>
      </c>
      <c r="D7" s="206" t="s">
        <v>396</v>
      </c>
    </row>
    <row r="8" spans="1:4" s="1" customFormat="1" ht="16.5" thickBot="1" x14ac:dyDescent="0.3">
      <c r="A8" s="14" t="s">
        <v>3</v>
      </c>
      <c r="B8" s="9" t="s">
        <v>16</v>
      </c>
      <c r="C8" s="160">
        <f>SUM(C9:C14)</f>
        <v>35965</v>
      </c>
      <c r="D8" s="169">
        <f>SUM(D9:D14)</f>
        <v>35965</v>
      </c>
    </row>
    <row r="9" spans="1:4" x14ac:dyDescent="0.25">
      <c r="A9" s="15" t="s">
        <v>6</v>
      </c>
      <c r="B9" s="8" t="s">
        <v>30</v>
      </c>
      <c r="C9" s="215"/>
      <c r="D9" s="163"/>
    </row>
    <row r="10" spans="1:4" x14ac:dyDescent="0.25">
      <c r="A10" s="16" t="s">
        <v>7</v>
      </c>
      <c r="B10" s="4" t="s">
        <v>31</v>
      </c>
      <c r="C10" s="216"/>
      <c r="D10" s="163"/>
    </row>
    <row r="11" spans="1:4" x14ac:dyDescent="0.25">
      <c r="A11" s="16" t="s">
        <v>8</v>
      </c>
      <c r="B11" s="4" t="s">
        <v>316</v>
      </c>
      <c r="C11" s="216">
        <v>35965</v>
      </c>
      <c r="D11" s="163">
        <v>35965</v>
      </c>
    </row>
    <row r="12" spans="1:4" x14ac:dyDescent="0.25">
      <c r="A12" s="16" t="s">
        <v>9</v>
      </c>
      <c r="B12" s="4" t="s">
        <v>33</v>
      </c>
      <c r="C12" s="216"/>
      <c r="D12" s="163"/>
    </row>
    <row r="13" spans="1:4" x14ac:dyDescent="0.25">
      <c r="A13" s="16" t="s">
        <v>10</v>
      </c>
      <c r="B13" s="4" t="s">
        <v>34</v>
      </c>
      <c r="C13" s="216"/>
      <c r="D13" s="163"/>
    </row>
    <row r="14" spans="1:4" ht="16.5" thickBot="1" x14ac:dyDescent="0.3">
      <c r="A14" s="17" t="s">
        <v>11</v>
      </c>
      <c r="B14" s="10" t="s">
        <v>354</v>
      </c>
      <c r="C14" s="217"/>
      <c r="D14" s="163"/>
    </row>
    <row r="15" spans="1:4" s="1" customFormat="1" ht="16.5" thickBot="1" x14ac:dyDescent="0.3">
      <c r="A15" s="14" t="s">
        <v>5</v>
      </c>
      <c r="B15" s="9" t="s">
        <v>39</v>
      </c>
      <c r="C15" s="160">
        <f>SUM(C16:C17)</f>
        <v>21181.81</v>
      </c>
      <c r="D15" s="169">
        <f>SUM(D16:D17)</f>
        <v>25391.794000000002</v>
      </c>
    </row>
    <row r="16" spans="1:4" x14ac:dyDescent="0.25">
      <c r="A16" s="15" t="s">
        <v>12</v>
      </c>
      <c r="B16" s="8" t="s">
        <v>36</v>
      </c>
      <c r="C16" s="215"/>
      <c r="D16" s="163"/>
    </row>
    <row r="17" spans="1:4" x14ac:dyDescent="0.25">
      <c r="A17" s="16" t="s">
        <v>13</v>
      </c>
      <c r="B17" s="4" t="s">
        <v>37</v>
      </c>
      <c r="C17" s="216">
        <v>21181.81</v>
      </c>
      <c r="D17" s="163">
        <v>25391.794000000002</v>
      </c>
    </row>
    <row r="18" spans="1:4" ht="16.5" thickBot="1" x14ac:dyDescent="0.3">
      <c r="A18" s="17" t="s">
        <v>14</v>
      </c>
      <c r="B18" s="10" t="s">
        <v>38</v>
      </c>
      <c r="C18" s="217">
        <v>20830.810000000001</v>
      </c>
      <c r="D18" s="163">
        <v>20830.810000000001</v>
      </c>
    </row>
    <row r="19" spans="1:4" s="1" customFormat="1" ht="16.5" thickBot="1" x14ac:dyDescent="0.3">
      <c r="A19" s="14" t="s">
        <v>15</v>
      </c>
      <c r="B19" s="9" t="s">
        <v>43</v>
      </c>
      <c r="C19" s="160">
        <f>SUM(C20:C21)</f>
        <v>115562.95</v>
      </c>
      <c r="D19" s="169">
        <f>SUM(D20:D21)</f>
        <v>116980.39</v>
      </c>
    </row>
    <row r="20" spans="1:4" x14ac:dyDescent="0.25">
      <c r="A20" s="15" t="s">
        <v>17</v>
      </c>
      <c r="B20" s="8" t="s">
        <v>40</v>
      </c>
      <c r="C20" s="215"/>
      <c r="D20" s="163"/>
    </row>
    <row r="21" spans="1:4" x14ac:dyDescent="0.25">
      <c r="A21" s="16" t="s">
        <v>18</v>
      </c>
      <c r="B21" s="4" t="s">
        <v>41</v>
      </c>
      <c r="C21" s="216">
        <v>115562.95</v>
      </c>
      <c r="D21" s="163">
        <v>116980.39</v>
      </c>
    </row>
    <row r="22" spans="1:4" ht="16.5" thickBot="1" x14ac:dyDescent="0.3">
      <c r="A22" s="17" t="s">
        <v>19</v>
      </c>
      <c r="B22" s="10" t="s">
        <v>42</v>
      </c>
      <c r="C22" s="217">
        <v>115562.95</v>
      </c>
      <c r="D22" s="163">
        <v>116980.39</v>
      </c>
    </row>
    <row r="23" spans="1:4" s="1" customFormat="1" ht="16.5" thickBot="1" x14ac:dyDescent="0.3">
      <c r="A23" s="14" t="s">
        <v>20</v>
      </c>
      <c r="B23" s="9" t="s">
        <v>21</v>
      </c>
      <c r="C23" s="160">
        <f>C24+C27+C28+C29</f>
        <v>22059.351999999999</v>
      </c>
      <c r="D23" s="169">
        <f>D24+D27+D28+D29</f>
        <v>28325.55</v>
      </c>
    </row>
    <row r="24" spans="1:4" x14ac:dyDescent="0.25">
      <c r="A24" s="15" t="s">
        <v>22</v>
      </c>
      <c r="B24" s="8" t="s">
        <v>44</v>
      </c>
      <c r="C24" s="215">
        <f>C25+C26</f>
        <v>22059.351999999999</v>
      </c>
      <c r="D24" s="205">
        <f>D25+D26</f>
        <v>28325.55</v>
      </c>
    </row>
    <row r="25" spans="1:4" x14ac:dyDescent="0.25">
      <c r="A25" s="16" t="s">
        <v>23</v>
      </c>
      <c r="B25" s="4" t="s">
        <v>45</v>
      </c>
      <c r="C25" s="216"/>
      <c r="D25" s="163"/>
    </row>
    <row r="26" spans="1:4" x14ac:dyDescent="0.25">
      <c r="A26" s="16" t="s">
        <v>25</v>
      </c>
      <c r="B26" s="4" t="s">
        <v>46</v>
      </c>
      <c r="C26" s="216">
        <v>22059.351999999999</v>
      </c>
      <c r="D26" s="163">
        <v>28325.55</v>
      </c>
    </row>
    <row r="27" spans="1:4" x14ac:dyDescent="0.25">
      <c r="A27" s="16" t="s">
        <v>26</v>
      </c>
      <c r="B27" s="4" t="s">
        <v>47</v>
      </c>
      <c r="C27" s="216"/>
      <c r="D27" s="163"/>
    </row>
    <row r="28" spans="1:4" x14ac:dyDescent="0.25">
      <c r="A28" s="16" t="s">
        <v>27</v>
      </c>
      <c r="B28" s="4" t="s">
        <v>48</v>
      </c>
      <c r="C28" s="216"/>
      <c r="D28" s="163"/>
    </row>
    <row r="29" spans="1:4" ht="16.5" thickBot="1" x14ac:dyDescent="0.3">
      <c r="A29" s="17" t="s">
        <v>28</v>
      </c>
      <c r="B29" s="10" t="s">
        <v>49</v>
      </c>
      <c r="C29" s="217"/>
      <c r="D29" s="164"/>
    </row>
    <row r="30" spans="1:4" s="1" customFormat="1" ht="16.5" thickBot="1" x14ac:dyDescent="0.3">
      <c r="A30" s="14" t="s">
        <v>29</v>
      </c>
      <c r="B30" s="9" t="s">
        <v>50</v>
      </c>
      <c r="C30" s="252">
        <v>33791</v>
      </c>
      <c r="D30" s="237">
        <v>33791</v>
      </c>
    </row>
    <row r="31" spans="1:4" s="1" customFormat="1" ht="16.5" thickBot="1" x14ac:dyDescent="0.3">
      <c r="A31" s="19" t="s">
        <v>51</v>
      </c>
      <c r="B31" s="20" t="s">
        <v>52</v>
      </c>
      <c r="C31" s="218"/>
      <c r="D31" s="210"/>
    </row>
    <row r="32" spans="1:4" s="1" customFormat="1" ht="16.5" thickBot="1" x14ac:dyDescent="0.3">
      <c r="A32" s="14" t="s">
        <v>53</v>
      </c>
      <c r="B32" s="9" t="s">
        <v>160</v>
      </c>
      <c r="C32" s="160">
        <v>258</v>
      </c>
      <c r="D32" s="169">
        <v>258</v>
      </c>
    </row>
    <row r="33" spans="1:4" s="1" customFormat="1" ht="16.5" thickBot="1" x14ac:dyDescent="0.3">
      <c r="A33" s="14" t="s">
        <v>55</v>
      </c>
      <c r="B33" s="9" t="s">
        <v>56</v>
      </c>
      <c r="C33" s="160"/>
      <c r="D33" s="190"/>
    </row>
    <row r="34" spans="1:4" s="1" customFormat="1" ht="16.5" thickBot="1" x14ac:dyDescent="0.3">
      <c r="A34" s="14" t="s">
        <v>57</v>
      </c>
      <c r="B34" s="9" t="s">
        <v>136</v>
      </c>
      <c r="C34" s="160">
        <f>C8+C15+C19+C23+C30+C31+C32+C33</f>
        <v>228818.11200000002</v>
      </c>
      <c r="D34" s="169">
        <f>D8+D15+D19+D23+D30+D31+D32+D33</f>
        <v>240711.734</v>
      </c>
    </row>
    <row r="35" spans="1:4" s="1" customFormat="1" ht="16.5" thickBot="1" x14ac:dyDescent="0.3">
      <c r="A35" s="14" t="s">
        <v>58</v>
      </c>
      <c r="B35" s="9" t="s">
        <v>59</v>
      </c>
      <c r="C35" s="160">
        <f>SUM(C36:C38)</f>
        <v>0</v>
      </c>
      <c r="D35" s="169">
        <f>SUM(D36:D38)</f>
        <v>0</v>
      </c>
    </row>
    <row r="36" spans="1:4" x14ac:dyDescent="0.25">
      <c r="A36" s="15" t="s">
        <v>60</v>
      </c>
      <c r="B36" s="8" t="s">
        <v>61</v>
      </c>
      <c r="C36" s="215"/>
      <c r="D36" s="163"/>
    </row>
    <row r="37" spans="1:4" x14ac:dyDescent="0.25">
      <c r="A37" s="16" t="s">
        <v>62</v>
      </c>
      <c r="B37" s="4" t="s">
        <v>63</v>
      </c>
      <c r="C37" s="216"/>
      <c r="D37" s="163"/>
    </row>
    <row r="38" spans="1:4" ht="16.5" thickBot="1" x14ac:dyDescent="0.3">
      <c r="A38" s="17" t="s">
        <v>64</v>
      </c>
      <c r="B38" s="10" t="s">
        <v>65</v>
      </c>
      <c r="C38" s="217"/>
      <c r="D38" s="164"/>
    </row>
    <row r="39" spans="1:4" s="1" customFormat="1" ht="16.5" thickBot="1" x14ac:dyDescent="0.3">
      <c r="A39" s="14" t="s">
        <v>66</v>
      </c>
      <c r="B39" s="9" t="s">
        <v>67</v>
      </c>
      <c r="C39" s="160"/>
      <c r="D39" s="169"/>
    </row>
    <row r="40" spans="1:4" s="1" customFormat="1" ht="16.5" thickBot="1" x14ac:dyDescent="0.3">
      <c r="A40" s="14" t="s">
        <v>68</v>
      </c>
      <c r="B40" s="9" t="s">
        <v>391</v>
      </c>
      <c r="C40" s="160">
        <v>642277.63699999999</v>
      </c>
      <c r="D40" s="169">
        <v>664594.64500000002</v>
      </c>
    </row>
    <row r="41" spans="1:4" s="1" customFormat="1" ht="16.5" thickBot="1" x14ac:dyDescent="0.3">
      <c r="A41" s="14" t="s">
        <v>70</v>
      </c>
      <c r="B41" s="9" t="s">
        <v>71</v>
      </c>
      <c r="C41" s="160">
        <f>C42+C43</f>
        <v>0</v>
      </c>
      <c r="D41" s="169">
        <f>D42+D43</f>
        <v>0</v>
      </c>
    </row>
    <row r="42" spans="1:4" x14ac:dyDescent="0.25">
      <c r="A42" s="15" t="s">
        <v>72</v>
      </c>
      <c r="B42" s="8" t="s">
        <v>73</v>
      </c>
      <c r="C42" s="215"/>
      <c r="D42" s="163"/>
    </row>
    <row r="43" spans="1:4" ht="16.5" thickBot="1" x14ac:dyDescent="0.3">
      <c r="A43" s="17" t="s">
        <v>74</v>
      </c>
      <c r="B43" s="10" t="s">
        <v>75</v>
      </c>
      <c r="C43" s="217"/>
      <c r="D43" s="164"/>
    </row>
    <row r="44" spans="1:4" s="1" customFormat="1" ht="16.5" thickBot="1" x14ac:dyDescent="0.3">
      <c r="A44" s="14" t="s">
        <v>76</v>
      </c>
      <c r="B44" s="9" t="s">
        <v>77</v>
      </c>
      <c r="C44" s="160"/>
      <c r="D44" s="169"/>
    </row>
    <row r="45" spans="1:4" s="1" customFormat="1" ht="16.5" thickBot="1" x14ac:dyDescent="0.3">
      <c r="A45" s="14" t="s">
        <v>78</v>
      </c>
      <c r="B45" s="9" t="s">
        <v>79</v>
      </c>
      <c r="C45" s="160"/>
      <c r="D45" s="169"/>
    </row>
    <row r="46" spans="1:4" s="1" customFormat="1" ht="16.5" thickBot="1" x14ac:dyDescent="0.3">
      <c r="A46" s="14" t="s">
        <v>80</v>
      </c>
      <c r="B46" s="9" t="s">
        <v>81</v>
      </c>
      <c r="C46" s="160"/>
      <c r="D46" s="169"/>
    </row>
    <row r="47" spans="1:4" s="1" customFormat="1" ht="16.5" thickBot="1" x14ac:dyDescent="0.3">
      <c r="A47" s="14" t="s">
        <v>82</v>
      </c>
      <c r="B47" s="9" t="s">
        <v>83</v>
      </c>
      <c r="C47" s="160">
        <f>C35+C39+C40+C41+C44+C45+C46</f>
        <v>642277.63699999999</v>
      </c>
      <c r="D47" s="169">
        <f>D35+D39+D40+D41+D44+D45+D46</f>
        <v>664594.64500000002</v>
      </c>
    </row>
    <row r="48" spans="1:4" s="1" customFormat="1" ht="32.25" thickBot="1" x14ac:dyDescent="0.3">
      <c r="A48" s="14" t="s">
        <v>84</v>
      </c>
      <c r="B48" s="221" t="s">
        <v>85</v>
      </c>
      <c r="C48" s="169">
        <f>C34+C47</f>
        <v>871095.74900000007</v>
      </c>
      <c r="D48" s="169">
        <f>D34+D47</f>
        <v>905306.37899999996</v>
      </c>
    </row>
    <row r="49" spans="1:4" x14ac:dyDescent="0.25">
      <c r="C49" s="191"/>
    </row>
    <row r="50" spans="1:4" x14ac:dyDescent="0.25">
      <c r="A50" s="379" t="s">
        <v>87</v>
      </c>
      <c r="B50" s="379"/>
      <c r="C50" s="379"/>
    </row>
    <row r="51" spans="1:4" ht="16.5" thickBot="1" x14ac:dyDescent="0.3">
      <c r="A51" s="18" t="s">
        <v>88</v>
      </c>
      <c r="B51" s="1"/>
      <c r="C51" s="161"/>
    </row>
    <row r="52" spans="1:4" ht="32.25" thickBot="1" x14ac:dyDescent="0.3">
      <c r="A52" s="24" t="s">
        <v>4</v>
      </c>
      <c r="B52" s="9" t="s">
        <v>89</v>
      </c>
      <c r="C52" s="203" t="s">
        <v>395</v>
      </c>
      <c r="D52" s="209" t="s">
        <v>396</v>
      </c>
    </row>
    <row r="53" spans="1:4" ht="16.5" thickBot="1" x14ac:dyDescent="0.3">
      <c r="A53" s="14" t="s">
        <v>3</v>
      </c>
      <c r="B53" s="9" t="s">
        <v>107</v>
      </c>
      <c r="C53" s="160">
        <f>C54+C55+C56+C57+C58+C64</f>
        <v>275599.76699999999</v>
      </c>
      <c r="D53" s="169">
        <f>D54+D55+D56+D57+D58+D64</f>
        <v>284831.03899999999</v>
      </c>
    </row>
    <row r="54" spans="1:4" x14ac:dyDescent="0.25">
      <c r="A54" s="21" t="s">
        <v>6</v>
      </c>
      <c r="B54" s="8" t="s">
        <v>90</v>
      </c>
      <c r="C54" s="162">
        <v>81242.944000000003</v>
      </c>
      <c r="D54" s="163">
        <v>85078.994000000006</v>
      </c>
    </row>
    <row r="55" spans="1:4" x14ac:dyDescent="0.25">
      <c r="A55" s="22" t="s">
        <v>7</v>
      </c>
      <c r="B55" s="4" t="s">
        <v>91</v>
      </c>
      <c r="C55" s="163">
        <v>16858.32</v>
      </c>
      <c r="D55" s="163">
        <v>17232.304</v>
      </c>
    </row>
    <row r="56" spans="1:4" x14ac:dyDescent="0.25">
      <c r="A56" s="22" t="s">
        <v>8</v>
      </c>
      <c r="B56" s="4" t="s">
        <v>92</v>
      </c>
      <c r="C56" s="163">
        <v>117947.905</v>
      </c>
      <c r="D56" s="163">
        <v>117947.905</v>
      </c>
    </row>
    <row r="57" spans="1:4" x14ac:dyDescent="0.25">
      <c r="A57" s="22" t="s">
        <v>9</v>
      </c>
      <c r="B57" s="4" t="s">
        <v>93</v>
      </c>
      <c r="C57" s="163">
        <v>3300</v>
      </c>
      <c r="D57" s="163">
        <v>3300</v>
      </c>
    </row>
    <row r="58" spans="1:4" x14ac:dyDescent="0.25">
      <c r="A58" s="22" t="s">
        <v>10</v>
      </c>
      <c r="B58" s="4" t="s">
        <v>94</v>
      </c>
      <c r="C58" s="163">
        <f>SUM(C59:C63)</f>
        <v>25107.203000000001</v>
      </c>
      <c r="D58" s="163">
        <f>SUM(D59:D63)</f>
        <v>25307.203000000001</v>
      </c>
    </row>
    <row r="59" spans="1:4" x14ac:dyDescent="0.25">
      <c r="A59" s="22" t="s">
        <v>11</v>
      </c>
      <c r="B59" s="23" t="s">
        <v>366</v>
      </c>
      <c r="C59" s="163"/>
      <c r="D59" s="163"/>
    </row>
    <row r="60" spans="1:4" x14ac:dyDescent="0.25">
      <c r="A60" s="22" t="s">
        <v>96</v>
      </c>
      <c r="B60" s="4" t="s">
        <v>102</v>
      </c>
      <c r="C60" s="163"/>
      <c r="D60" s="163"/>
    </row>
    <row r="61" spans="1:4" x14ac:dyDescent="0.25">
      <c r="A61" s="22" t="s">
        <v>97</v>
      </c>
      <c r="B61" s="4" t="s">
        <v>137</v>
      </c>
      <c r="C61" s="163"/>
      <c r="D61" s="163"/>
    </row>
    <row r="62" spans="1:4" x14ac:dyDescent="0.25">
      <c r="A62" s="22" t="s">
        <v>98</v>
      </c>
      <c r="B62" s="4" t="s">
        <v>138</v>
      </c>
      <c r="C62" s="163">
        <v>19381.203000000001</v>
      </c>
      <c r="D62" s="163">
        <v>20101.203000000001</v>
      </c>
    </row>
    <row r="63" spans="1:4" x14ac:dyDescent="0.25">
      <c r="A63" s="22" t="s">
        <v>99</v>
      </c>
      <c r="B63" s="4" t="s">
        <v>139</v>
      </c>
      <c r="C63" s="163">
        <v>5726</v>
      </c>
      <c r="D63" s="163">
        <v>5206</v>
      </c>
    </row>
    <row r="64" spans="1:4" x14ac:dyDescent="0.25">
      <c r="A64" s="22" t="s">
        <v>100</v>
      </c>
      <c r="B64" s="4" t="s">
        <v>101</v>
      </c>
      <c r="C64" s="163">
        <f>SUM(C65:C66)</f>
        <v>31143.395</v>
      </c>
      <c r="D64" s="163">
        <f>SUM(D65:D66)</f>
        <v>35964.633000000002</v>
      </c>
    </row>
    <row r="65" spans="1:4" x14ac:dyDescent="0.25">
      <c r="A65" s="22" t="s">
        <v>103</v>
      </c>
      <c r="B65" s="4" t="s">
        <v>104</v>
      </c>
      <c r="C65" s="163">
        <v>5778</v>
      </c>
      <c r="D65" s="163">
        <v>10599.245999999999</v>
      </c>
    </row>
    <row r="66" spans="1:4" ht="16.5" thickBot="1" x14ac:dyDescent="0.3">
      <c r="A66" s="25" t="s">
        <v>105</v>
      </c>
      <c r="B66" s="10" t="s">
        <v>106</v>
      </c>
      <c r="C66" s="164">
        <v>25365.395</v>
      </c>
      <c r="D66" s="163">
        <v>25365.386999999999</v>
      </c>
    </row>
    <row r="67" spans="1:4" ht="16.5" thickBot="1" x14ac:dyDescent="0.3">
      <c r="A67" s="14" t="s">
        <v>5</v>
      </c>
      <c r="B67" s="9" t="s">
        <v>120</v>
      </c>
      <c r="C67" s="160">
        <f>C68+C70+C72</f>
        <v>595495.98199999996</v>
      </c>
      <c r="D67" s="169">
        <f>D68+D70+D72</f>
        <v>620475.39</v>
      </c>
    </row>
    <row r="68" spans="1:4" x14ac:dyDescent="0.25">
      <c r="A68" s="21" t="s">
        <v>12</v>
      </c>
      <c r="B68" s="8" t="s">
        <v>108</v>
      </c>
      <c r="C68" s="162">
        <v>568754.88199999998</v>
      </c>
      <c r="D68" s="163">
        <v>540533.88100000005</v>
      </c>
    </row>
    <row r="69" spans="1:4" x14ac:dyDescent="0.25">
      <c r="A69" s="22" t="s">
        <v>109</v>
      </c>
      <c r="B69" s="4" t="s">
        <v>110</v>
      </c>
      <c r="C69" s="163">
        <v>568754.88199999998</v>
      </c>
      <c r="D69" s="163">
        <v>539917.21499999997</v>
      </c>
    </row>
    <row r="70" spans="1:4" x14ac:dyDescent="0.25">
      <c r="A70" s="22" t="s">
        <v>14</v>
      </c>
      <c r="B70" s="4" t="s">
        <v>111</v>
      </c>
      <c r="C70" s="163">
        <v>26741.1</v>
      </c>
      <c r="D70" s="163">
        <v>79941.509000000005</v>
      </c>
    </row>
    <row r="71" spans="1:4" x14ac:dyDescent="0.25">
      <c r="A71" s="22" t="s">
        <v>112</v>
      </c>
      <c r="B71" s="4" t="s">
        <v>113</v>
      </c>
      <c r="C71" s="163">
        <v>23859</v>
      </c>
      <c r="D71" s="163">
        <v>77059.409</v>
      </c>
    </row>
    <row r="72" spans="1:4" x14ac:dyDescent="0.25">
      <c r="A72" s="22" t="s">
        <v>114</v>
      </c>
      <c r="B72" s="4" t="s">
        <v>115</v>
      </c>
      <c r="C72" s="163"/>
      <c r="D72" s="163"/>
    </row>
    <row r="73" spans="1:4" x14ac:dyDescent="0.25">
      <c r="A73" s="22" t="s">
        <v>116</v>
      </c>
      <c r="B73" s="4" t="s">
        <v>117</v>
      </c>
      <c r="C73" s="163"/>
      <c r="D73" s="163"/>
    </row>
    <row r="74" spans="1:4" ht="16.5" thickBot="1" x14ac:dyDescent="0.3">
      <c r="A74" s="25" t="s">
        <v>118</v>
      </c>
      <c r="B74" s="10" t="s">
        <v>119</v>
      </c>
      <c r="C74" s="164"/>
      <c r="D74" s="163"/>
    </row>
    <row r="75" spans="1:4" ht="16.5" thickBot="1" x14ac:dyDescent="0.3">
      <c r="A75" s="14" t="s">
        <v>15</v>
      </c>
      <c r="B75" s="9" t="s">
        <v>121</v>
      </c>
      <c r="C75" s="160">
        <f>C53+C67</f>
        <v>871095.74899999995</v>
      </c>
      <c r="D75" s="169">
        <f>D53+D67</f>
        <v>905306.429</v>
      </c>
    </row>
    <row r="76" spans="1:4" ht="16.5" thickBot="1" x14ac:dyDescent="0.3">
      <c r="A76" s="14" t="s">
        <v>20</v>
      </c>
      <c r="B76" s="9" t="s">
        <v>125</v>
      </c>
      <c r="C76" s="160">
        <f>SUM(C77:C79)</f>
        <v>0</v>
      </c>
      <c r="D76" s="169">
        <f>SUM(D77:D79)</f>
        <v>0</v>
      </c>
    </row>
    <row r="77" spans="1:4" x14ac:dyDescent="0.25">
      <c r="A77" s="21" t="s">
        <v>22</v>
      </c>
      <c r="B77" s="8" t="s">
        <v>122</v>
      </c>
      <c r="C77" s="162"/>
      <c r="D77" s="162"/>
    </row>
    <row r="78" spans="1:4" x14ac:dyDescent="0.25">
      <c r="A78" s="22" t="s">
        <v>26</v>
      </c>
      <c r="B78" s="4" t="s">
        <v>123</v>
      </c>
      <c r="C78" s="163"/>
      <c r="D78" s="163"/>
    </row>
    <row r="79" spans="1:4" ht="16.5" thickBot="1" x14ac:dyDescent="0.3">
      <c r="A79" s="25" t="s">
        <v>27</v>
      </c>
      <c r="B79" s="10" t="s">
        <v>124</v>
      </c>
      <c r="C79" s="164"/>
      <c r="D79" s="164"/>
    </row>
    <row r="80" spans="1:4" ht="16.5" thickBot="1" x14ac:dyDescent="0.3">
      <c r="A80" s="28" t="s">
        <v>29</v>
      </c>
      <c r="B80" s="29" t="s">
        <v>126</v>
      </c>
      <c r="C80" s="219"/>
      <c r="D80" s="208"/>
    </row>
    <row r="81" spans="1:4" ht="16.5" thickBot="1" x14ac:dyDescent="0.3">
      <c r="A81" s="14" t="s">
        <v>51</v>
      </c>
      <c r="B81" s="9" t="s">
        <v>129</v>
      </c>
      <c r="C81" s="160">
        <f>C82</f>
        <v>0</v>
      </c>
      <c r="D81" s="169">
        <f>D82</f>
        <v>0</v>
      </c>
    </row>
    <row r="82" spans="1:4" ht="16.5" thickBot="1" x14ac:dyDescent="0.3">
      <c r="A82" s="26" t="s">
        <v>127</v>
      </c>
      <c r="B82" s="27" t="s">
        <v>128</v>
      </c>
      <c r="C82" s="165"/>
      <c r="D82" s="208"/>
    </row>
    <row r="83" spans="1:4" ht="16.5" thickBot="1" x14ac:dyDescent="0.3">
      <c r="A83" s="14" t="s">
        <v>53</v>
      </c>
      <c r="B83" s="9" t="s">
        <v>130</v>
      </c>
      <c r="C83" s="160"/>
      <c r="D83" s="208"/>
    </row>
    <row r="84" spans="1:4" ht="16.5" thickBot="1" x14ac:dyDescent="0.3">
      <c r="A84" s="14" t="s">
        <v>55</v>
      </c>
      <c r="B84" s="9" t="s">
        <v>131</v>
      </c>
      <c r="C84" s="160"/>
      <c r="D84" s="208"/>
    </row>
    <row r="85" spans="1:4" ht="16.5" thickBot="1" x14ac:dyDescent="0.3">
      <c r="A85" s="14" t="s">
        <v>132</v>
      </c>
      <c r="B85" s="9" t="s">
        <v>133</v>
      </c>
      <c r="C85" s="160"/>
      <c r="D85" s="208"/>
    </row>
    <row r="86" spans="1:4" ht="16.5" thickBot="1" x14ac:dyDescent="0.3">
      <c r="A86" s="14" t="s">
        <v>58</v>
      </c>
      <c r="B86" s="9" t="s">
        <v>134</v>
      </c>
      <c r="C86" s="160">
        <f>C76+C80+C81+C83+C84+C85</f>
        <v>0</v>
      </c>
      <c r="D86" s="169">
        <f>D76+D80+D81+D83+D84+D85</f>
        <v>0</v>
      </c>
    </row>
    <row r="87" spans="1:4" ht="16.5" thickBot="1" x14ac:dyDescent="0.3">
      <c r="A87" s="14" t="s">
        <v>66</v>
      </c>
      <c r="B87" s="9" t="s">
        <v>135</v>
      </c>
      <c r="C87" s="160">
        <f>C75+C86</f>
        <v>871095.74899999995</v>
      </c>
      <c r="D87" s="169">
        <f>D75+D86</f>
        <v>905306.429</v>
      </c>
    </row>
    <row r="89" spans="1:4" s="30" customFormat="1" ht="29.25" customHeight="1" x14ac:dyDescent="0.25">
      <c r="A89" s="378" t="s">
        <v>140</v>
      </c>
      <c r="B89" s="378"/>
      <c r="C89" s="378"/>
    </row>
    <row r="90" spans="1:4" ht="16.5" thickBot="1" x14ac:dyDescent="0.3">
      <c r="A90" s="18" t="s">
        <v>141</v>
      </c>
      <c r="B90" s="1"/>
      <c r="C90" s="159"/>
    </row>
    <row r="91" spans="1:4" ht="32.25" thickBot="1" x14ac:dyDescent="0.3">
      <c r="A91" s="14" t="s">
        <v>3</v>
      </c>
      <c r="B91" s="11" t="s">
        <v>142</v>
      </c>
      <c r="C91" s="202">
        <f>C34-C75</f>
        <v>-642277.63699999987</v>
      </c>
      <c r="D91" s="169">
        <f>D34-D75</f>
        <v>-664594.69500000007</v>
      </c>
    </row>
    <row r="92" spans="1:4" ht="32.25" thickBot="1" x14ac:dyDescent="0.3">
      <c r="A92" s="14" t="s">
        <v>5</v>
      </c>
      <c r="B92" s="11" t="s">
        <v>143</v>
      </c>
      <c r="C92" s="202">
        <f>C47-C86</f>
        <v>642277.63699999999</v>
      </c>
      <c r="D92" s="169">
        <f>D47-D86</f>
        <v>664594.64500000002</v>
      </c>
    </row>
  </sheetData>
  <mergeCells count="6">
    <mergeCell ref="A89:C89"/>
    <mergeCell ref="A50:C50"/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92"/>
  <sheetViews>
    <sheetView topLeftCell="A70" workbookViewId="0">
      <selection activeCell="D56" sqref="D56"/>
    </sheetView>
  </sheetViews>
  <sheetFormatPr defaultRowHeight="15.75" x14ac:dyDescent="0.25"/>
  <cols>
    <col min="1" max="1" width="6.85546875" style="12" customWidth="1"/>
    <col min="2" max="2" width="60.42578125" style="2" customWidth="1"/>
    <col min="3" max="3" width="17.5703125" style="166" customWidth="1"/>
    <col min="4" max="4" width="15.5703125" style="2" customWidth="1"/>
    <col min="5" max="16384" width="9.140625" style="2"/>
  </cols>
  <sheetData>
    <row r="1" spans="1:4" x14ac:dyDescent="0.25">
      <c r="A1" s="380" t="s">
        <v>410</v>
      </c>
      <c r="B1" s="380"/>
      <c r="C1" s="380"/>
      <c r="D1" s="380"/>
    </row>
    <row r="2" spans="1:4" s="1" customFormat="1" x14ac:dyDescent="0.25">
      <c r="A2" s="379" t="s">
        <v>0</v>
      </c>
      <c r="B2" s="379"/>
      <c r="C2" s="379"/>
      <c r="D2" s="379"/>
    </row>
    <row r="3" spans="1:4" s="1" customFormat="1" ht="40.5" customHeight="1" x14ac:dyDescent="0.25">
      <c r="A3" s="381" t="s">
        <v>411</v>
      </c>
      <c r="B3" s="381"/>
      <c r="C3" s="381"/>
      <c r="D3" s="381"/>
    </row>
    <row r="4" spans="1:4" s="1" customFormat="1" x14ac:dyDescent="0.25">
      <c r="A4" s="379" t="s">
        <v>1</v>
      </c>
      <c r="B4" s="379"/>
      <c r="C4" s="379"/>
      <c r="D4" s="379"/>
    </row>
    <row r="5" spans="1:4" s="1" customFormat="1" ht="16.5" thickBot="1" x14ac:dyDescent="0.3">
      <c r="A5" s="18" t="s">
        <v>86</v>
      </c>
      <c r="C5" s="159"/>
    </row>
    <row r="6" spans="1:4" s="3" customFormat="1" ht="16.5" thickBot="1" x14ac:dyDescent="0.3">
      <c r="A6" s="5">
        <v>1</v>
      </c>
      <c r="B6" s="6">
        <v>2</v>
      </c>
      <c r="C6" s="201">
        <v>3</v>
      </c>
      <c r="D6" s="204">
        <v>4</v>
      </c>
    </row>
    <row r="7" spans="1:4" s="1" customFormat="1" ht="32.25" thickBot="1" x14ac:dyDescent="0.3">
      <c r="A7" s="7" t="s">
        <v>4</v>
      </c>
      <c r="B7" s="6" t="s">
        <v>2</v>
      </c>
      <c r="C7" s="203" t="s">
        <v>395</v>
      </c>
      <c r="D7" s="206" t="s">
        <v>396</v>
      </c>
    </row>
    <row r="8" spans="1:4" s="1" customFormat="1" ht="16.5" thickBot="1" x14ac:dyDescent="0.3">
      <c r="A8" s="14" t="s">
        <v>3</v>
      </c>
      <c r="B8" s="9" t="s">
        <v>16</v>
      </c>
      <c r="C8" s="160">
        <f>SUM(C9:C14)</f>
        <v>7408</v>
      </c>
      <c r="D8" s="168">
        <f>SUM(D9:D14)</f>
        <v>7408</v>
      </c>
    </row>
    <row r="9" spans="1:4" x14ac:dyDescent="0.25">
      <c r="A9" s="15" t="s">
        <v>6</v>
      </c>
      <c r="B9" s="8" t="s">
        <v>30</v>
      </c>
      <c r="C9" s="215">
        <v>7408</v>
      </c>
      <c r="D9" s="162">
        <v>7408</v>
      </c>
    </row>
    <row r="10" spans="1:4" x14ac:dyDescent="0.25">
      <c r="A10" s="16" t="s">
        <v>7</v>
      </c>
      <c r="B10" s="4" t="s">
        <v>31</v>
      </c>
      <c r="C10" s="216"/>
      <c r="D10" s="163"/>
    </row>
    <row r="11" spans="1:4" x14ac:dyDescent="0.25">
      <c r="A11" s="16" t="s">
        <v>8</v>
      </c>
      <c r="B11" s="4" t="s">
        <v>32</v>
      </c>
      <c r="C11" s="216"/>
      <c r="D11" s="163"/>
    </row>
    <row r="12" spans="1:4" x14ac:dyDescent="0.25">
      <c r="A12" s="16" t="s">
        <v>9</v>
      </c>
      <c r="B12" s="4" t="s">
        <v>33</v>
      </c>
      <c r="C12" s="216"/>
      <c r="D12" s="163"/>
    </row>
    <row r="13" spans="1:4" x14ac:dyDescent="0.25">
      <c r="A13" s="16" t="s">
        <v>10</v>
      </c>
      <c r="B13" s="4" t="s">
        <v>34</v>
      </c>
      <c r="C13" s="216"/>
      <c r="D13" s="163"/>
    </row>
    <row r="14" spans="1:4" ht="16.5" thickBot="1" x14ac:dyDescent="0.3">
      <c r="A14" s="17" t="s">
        <v>11</v>
      </c>
      <c r="B14" s="10" t="s">
        <v>35</v>
      </c>
      <c r="C14" s="217"/>
      <c r="D14" s="164"/>
    </row>
    <row r="15" spans="1:4" s="1" customFormat="1" ht="16.5" thickBot="1" x14ac:dyDescent="0.3">
      <c r="A15" s="14" t="s">
        <v>5</v>
      </c>
      <c r="B15" s="9" t="s">
        <v>39</v>
      </c>
      <c r="C15" s="160">
        <f>SUM(C16:C18)</f>
        <v>0</v>
      </c>
      <c r="D15" s="168">
        <f>SUM(D16:D18)</f>
        <v>0</v>
      </c>
    </row>
    <row r="16" spans="1:4" x14ac:dyDescent="0.25">
      <c r="A16" s="15" t="s">
        <v>12</v>
      </c>
      <c r="B16" s="8" t="s">
        <v>36</v>
      </c>
      <c r="C16" s="215"/>
      <c r="D16" s="162"/>
    </row>
    <row r="17" spans="1:4" x14ac:dyDescent="0.25">
      <c r="A17" s="16" t="s">
        <v>13</v>
      </c>
      <c r="B17" s="4" t="s">
        <v>37</v>
      </c>
      <c r="C17" s="216"/>
      <c r="D17" s="163"/>
    </row>
    <row r="18" spans="1:4" ht="16.5" thickBot="1" x14ac:dyDescent="0.3">
      <c r="A18" s="17" t="s">
        <v>14</v>
      </c>
      <c r="B18" s="10" t="s">
        <v>38</v>
      </c>
      <c r="C18" s="217"/>
      <c r="D18" s="164"/>
    </row>
    <row r="19" spans="1:4" s="1" customFormat="1" ht="16.5" thickBot="1" x14ac:dyDescent="0.3">
      <c r="A19" s="14" t="s">
        <v>15</v>
      </c>
      <c r="B19" s="9" t="s">
        <v>43</v>
      </c>
      <c r="C19" s="160">
        <f>SUM(C20:C21)</f>
        <v>0</v>
      </c>
      <c r="D19" s="168">
        <f>SUM(D20:D21)</f>
        <v>0</v>
      </c>
    </row>
    <row r="20" spans="1:4" x14ac:dyDescent="0.25">
      <c r="A20" s="15" t="s">
        <v>17</v>
      </c>
      <c r="B20" s="8" t="s">
        <v>40</v>
      </c>
      <c r="C20" s="215"/>
      <c r="D20" s="162"/>
    </row>
    <row r="21" spans="1:4" x14ac:dyDescent="0.25">
      <c r="A21" s="16" t="s">
        <v>18</v>
      </c>
      <c r="B21" s="4" t="s">
        <v>41</v>
      </c>
      <c r="C21" s="216"/>
      <c r="D21" s="163"/>
    </row>
    <row r="22" spans="1:4" ht="16.5" thickBot="1" x14ac:dyDescent="0.3">
      <c r="A22" s="17" t="s">
        <v>19</v>
      </c>
      <c r="B22" s="10" t="s">
        <v>42</v>
      </c>
      <c r="C22" s="217"/>
      <c r="D22" s="164"/>
    </row>
    <row r="23" spans="1:4" s="1" customFormat="1" ht="16.5" thickBot="1" x14ac:dyDescent="0.3">
      <c r="A23" s="14" t="s">
        <v>20</v>
      </c>
      <c r="B23" s="9" t="s">
        <v>21</v>
      </c>
      <c r="C23" s="160">
        <f>C24+C27+C28+C29</f>
        <v>0</v>
      </c>
      <c r="D23" s="168">
        <f>D24+D27+D28+D29</f>
        <v>0</v>
      </c>
    </row>
    <row r="24" spans="1:4" x14ac:dyDescent="0.25">
      <c r="A24" s="15" t="s">
        <v>22</v>
      </c>
      <c r="B24" s="8" t="s">
        <v>44</v>
      </c>
      <c r="C24" s="215"/>
      <c r="D24" s="162"/>
    </row>
    <row r="25" spans="1:4" x14ac:dyDescent="0.25">
      <c r="A25" s="16" t="s">
        <v>23</v>
      </c>
      <c r="B25" s="4" t="s">
        <v>45</v>
      </c>
      <c r="C25" s="216"/>
      <c r="D25" s="163"/>
    </row>
    <row r="26" spans="1:4" x14ac:dyDescent="0.25">
      <c r="A26" s="16" t="s">
        <v>25</v>
      </c>
      <c r="B26" s="4" t="s">
        <v>46</v>
      </c>
      <c r="C26" s="216"/>
      <c r="D26" s="163"/>
    </row>
    <row r="27" spans="1:4" x14ac:dyDescent="0.25">
      <c r="A27" s="16" t="s">
        <v>26</v>
      </c>
      <c r="B27" s="4" t="s">
        <v>47</v>
      </c>
      <c r="C27" s="216"/>
      <c r="D27" s="163"/>
    </row>
    <row r="28" spans="1:4" x14ac:dyDescent="0.25">
      <c r="A28" s="16" t="s">
        <v>27</v>
      </c>
      <c r="B28" s="4" t="s">
        <v>48</v>
      </c>
      <c r="C28" s="216"/>
      <c r="D28" s="163"/>
    </row>
    <row r="29" spans="1:4" ht="16.5" thickBot="1" x14ac:dyDescent="0.3">
      <c r="A29" s="17" t="s">
        <v>28</v>
      </c>
      <c r="B29" s="10" t="s">
        <v>49</v>
      </c>
      <c r="C29" s="217"/>
      <c r="D29" s="164"/>
    </row>
    <row r="30" spans="1:4" s="1" customFormat="1" ht="16.5" thickBot="1" x14ac:dyDescent="0.3">
      <c r="A30" s="14" t="s">
        <v>29</v>
      </c>
      <c r="B30" s="9" t="s">
        <v>50</v>
      </c>
      <c r="C30" s="160"/>
      <c r="D30" s="168"/>
    </row>
    <row r="31" spans="1:4" s="1" customFormat="1" ht="16.5" thickBot="1" x14ac:dyDescent="0.3">
      <c r="A31" s="19" t="s">
        <v>51</v>
      </c>
      <c r="B31" s="20" t="s">
        <v>52</v>
      </c>
      <c r="C31" s="218"/>
      <c r="D31" s="212"/>
    </row>
    <row r="32" spans="1:4" s="1" customFormat="1" ht="16.5" thickBot="1" x14ac:dyDescent="0.3">
      <c r="A32" s="14" t="s">
        <v>53</v>
      </c>
      <c r="B32" s="9" t="s">
        <v>54</v>
      </c>
      <c r="C32" s="160"/>
      <c r="D32" s="168"/>
    </row>
    <row r="33" spans="1:4" s="1" customFormat="1" ht="16.5" thickBot="1" x14ac:dyDescent="0.3">
      <c r="A33" s="14" t="s">
        <v>55</v>
      </c>
      <c r="B33" s="9" t="s">
        <v>56</v>
      </c>
      <c r="C33" s="160"/>
      <c r="D33" s="168"/>
    </row>
    <row r="34" spans="1:4" s="1" customFormat="1" ht="16.5" thickBot="1" x14ac:dyDescent="0.3">
      <c r="A34" s="14" t="s">
        <v>57</v>
      </c>
      <c r="B34" s="9" t="s">
        <v>136</v>
      </c>
      <c r="C34" s="160">
        <f>C8+C15+C19+C23+C30+C31+C32+C33</f>
        <v>7408</v>
      </c>
      <c r="D34" s="168">
        <f>D8+D15+D19+D23+D30+D31+D32+D33</f>
        <v>7408</v>
      </c>
    </row>
    <row r="35" spans="1:4" s="1" customFormat="1" ht="16.5" thickBot="1" x14ac:dyDescent="0.3">
      <c r="A35" s="14" t="s">
        <v>58</v>
      </c>
      <c r="B35" s="9" t="s">
        <v>59</v>
      </c>
      <c r="C35" s="160">
        <f>SUM(C36:C38)</f>
        <v>0</v>
      </c>
      <c r="D35" s="168">
        <f>SUM(D36:D38)</f>
        <v>0</v>
      </c>
    </row>
    <row r="36" spans="1:4" x14ac:dyDescent="0.25">
      <c r="A36" s="15" t="s">
        <v>60</v>
      </c>
      <c r="B36" s="8" t="s">
        <v>61</v>
      </c>
      <c r="C36" s="215"/>
      <c r="D36" s="162"/>
    </row>
    <row r="37" spans="1:4" x14ac:dyDescent="0.25">
      <c r="A37" s="16" t="s">
        <v>62</v>
      </c>
      <c r="B37" s="4" t="s">
        <v>63</v>
      </c>
      <c r="C37" s="216"/>
      <c r="D37" s="163"/>
    </row>
    <row r="38" spans="1:4" ht="16.5" thickBot="1" x14ac:dyDescent="0.3">
      <c r="A38" s="17" t="s">
        <v>64</v>
      </c>
      <c r="B38" s="10" t="s">
        <v>65</v>
      </c>
      <c r="C38" s="217"/>
      <c r="D38" s="164"/>
    </row>
    <row r="39" spans="1:4" s="1" customFormat="1" ht="16.5" thickBot="1" x14ac:dyDescent="0.3">
      <c r="A39" s="14" t="s">
        <v>66</v>
      </c>
      <c r="B39" s="9" t="s">
        <v>67</v>
      </c>
      <c r="C39" s="160"/>
      <c r="D39" s="168"/>
    </row>
    <row r="40" spans="1:4" s="1" customFormat="1" ht="16.5" thickBot="1" x14ac:dyDescent="0.3">
      <c r="A40" s="14" t="s">
        <v>68</v>
      </c>
      <c r="B40" s="9" t="s">
        <v>69</v>
      </c>
      <c r="C40" s="160"/>
      <c r="D40" s="168"/>
    </row>
    <row r="41" spans="1:4" s="1" customFormat="1" ht="16.5" thickBot="1" x14ac:dyDescent="0.3">
      <c r="A41" s="14" t="s">
        <v>70</v>
      </c>
      <c r="B41" s="9" t="s">
        <v>71</v>
      </c>
      <c r="C41" s="160">
        <f>C42+C43</f>
        <v>0</v>
      </c>
      <c r="D41" s="168">
        <f>D42+D43</f>
        <v>0</v>
      </c>
    </row>
    <row r="42" spans="1:4" x14ac:dyDescent="0.25">
      <c r="A42" s="15" t="s">
        <v>72</v>
      </c>
      <c r="B42" s="8" t="s">
        <v>73</v>
      </c>
      <c r="C42" s="215"/>
      <c r="D42" s="162"/>
    </row>
    <row r="43" spans="1:4" ht="16.5" thickBot="1" x14ac:dyDescent="0.3">
      <c r="A43" s="17" t="s">
        <v>74</v>
      </c>
      <c r="B43" s="10" t="s">
        <v>75</v>
      </c>
      <c r="C43" s="217"/>
      <c r="D43" s="164"/>
    </row>
    <row r="44" spans="1:4" s="1" customFormat="1" ht="16.5" thickBot="1" x14ac:dyDescent="0.3">
      <c r="A44" s="14" t="s">
        <v>76</v>
      </c>
      <c r="B44" s="9" t="s">
        <v>77</v>
      </c>
      <c r="C44" s="160"/>
      <c r="D44" s="168"/>
    </row>
    <row r="45" spans="1:4" s="1" customFormat="1" ht="16.5" thickBot="1" x14ac:dyDescent="0.3">
      <c r="A45" s="14" t="s">
        <v>78</v>
      </c>
      <c r="B45" s="9" t="s">
        <v>79</v>
      </c>
      <c r="C45" s="160"/>
      <c r="D45" s="168"/>
    </row>
    <row r="46" spans="1:4" s="1" customFormat="1" ht="16.5" thickBot="1" x14ac:dyDescent="0.3">
      <c r="A46" s="14" t="s">
        <v>80</v>
      </c>
      <c r="B46" s="9" t="s">
        <v>81</v>
      </c>
      <c r="C46" s="160"/>
      <c r="D46" s="168"/>
    </row>
    <row r="47" spans="1:4" s="1" customFormat="1" ht="16.5" thickBot="1" x14ac:dyDescent="0.3">
      <c r="A47" s="14" t="s">
        <v>82</v>
      </c>
      <c r="B47" s="9" t="s">
        <v>83</v>
      </c>
      <c r="C47" s="160">
        <f>C35+C39+C40+C41+C44+C45+C46</f>
        <v>0</v>
      </c>
      <c r="D47" s="168">
        <f>D35+D39+D40+D41+D44+D45+D46</f>
        <v>0</v>
      </c>
    </row>
    <row r="48" spans="1:4" s="1" customFormat="1" ht="32.25" thickBot="1" x14ac:dyDescent="0.3">
      <c r="A48" s="14" t="s">
        <v>84</v>
      </c>
      <c r="B48" s="221" t="s">
        <v>85</v>
      </c>
      <c r="C48" s="169">
        <f>C34+C47</f>
        <v>7408</v>
      </c>
      <c r="D48" s="168">
        <f>D34+D47</f>
        <v>7408</v>
      </c>
    </row>
    <row r="49" spans="1:4" x14ac:dyDescent="0.25">
      <c r="C49" s="191"/>
    </row>
    <row r="50" spans="1:4" x14ac:dyDescent="0.25">
      <c r="A50" s="379" t="s">
        <v>87</v>
      </c>
      <c r="B50" s="379"/>
      <c r="C50" s="379"/>
    </row>
    <row r="51" spans="1:4" ht="16.5" thickBot="1" x14ac:dyDescent="0.3">
      <c r="A51" s="18" t="s">
        <v>88</v>
      </c>
      <c r="B51" s="1"/>
      <c r="C51" s="161"/>
    </row>
    <row r="52" spans="1:4" ht="32.25" thickBot="1" x14ac:dyDescent="0.3">
      <c r="A52" s="24" t="s">
        <v>4</v>
      </c>
      <c r="B52" s="9" t="s">
        <v>89</v>
      </c>
      <c r="C52" s="203" t="s">
        <v>395</v>
      </c>
      <c r="D52" s="206" t="s">
        <v>396</v>
      </c>
    </row>
    <row r="53" spans="1:4" ht="16.5" thickBot="1" x14ac:dyDescent="0.3">
      <c r="A53" s="14" t="s">
        <v>3</v>
      </c>
      <c r="B53" s="9" t="s">
        <v>107</v>
      </c>
      <c r="C53" s="160">
        <f>C54+C55+C56+C57+C58+C64</f>
        <v>7408</v>
      </c>
      <c r="D53" s="168">
        <f>D54+D55+D56+D57+D58+D64</f>
        <v>7408</v>
      </c>
    </row>
    <row r="54" spans="1:4" x14ac:dyDescent="0.25">
      <c r="A54" s="21" t="s">
        <v>6</v>
      </c>
      <c r="B54" s="8" t="s">
        <v>90</v>
      </c>
      <c r="C54" s="162">
        <v>6161.8</v>
      </c>
      <c r="D54" s="162">
        <v>6161.8</v>
      </c>
    </row>
    <row r="55" spans="1:4" x14ac:dyDescent="0.25">
      <c r="A55" s="22" t="s">
        <v>7</v>
      </c>
      <c r="B55" s="4" t="s">
        <v>91</v>
      </c>
      <c r="C55" s="163">
        <v>1246.2</v>
      </c>
      <c r="D55" s="163">
        <v>1246.2</v>
      </c>
    </row>
    <row r="56" spans="1:4" x14ac:dyDescent="0.25">
      <c r="A56" s="22" t="s">
        <v>8</v>
      </c>
      <c r="B56" s="4" t="s">
        <v>92</v>
      </c>
      <c r="C56" s="163"/>
      <c r="D56" s="163"/>
    </row>
    <row r="57" spans="1:4" x14ac:dyDescent="0.25">
      <c r="A57" s="22" t="s">
        <v>9</v>
      </c>
      <c r="B57" s="4" t="s">
        <v>93</v>
      </c>
      <c r="C57" s="163"/>
      <c r="D57" s="163"/>
    </row>
    <row r="58" spans="1:4" x14ac:dyDescent="0.25">
      <c r="A58" s="22" t="s">
        <v>10</v>
      </c>
      <c r="B58" s="4" t="s">
        <v>94</v>
      </c>
      <c r="C58" s="163"/>
      <c r="D58" s="163"/>
    </row>
    <row r="59" spans="1:4" x14ac:dyDescent="0.25">
      <c r="A59" s="22" t="s">
        <v>11</v>
      </c>
      <c r="B59" s="23" t="s">
        <v>95</v>
      </c>
      <c r="C59" s="163"/>
      <c r="D59" s="163"/>
    </row>
    <row r="60" spans="1:4" x14ac:dyDescent="0.25">
      <c r="A60" s="22" t="s">
        <v>96</v>
      </c>
      <c r="B60" s="4" t="s">
        <v>102</v>
      </c>
      <c r="C60" s="163"/>
      <c r="D60" s="163"/>
    </row>
    <row r="61" spans="1:4" x14ac:dyDescent="0.25">
      <c r="A61" s="22" t="s">
        <v>97</v>
      </c>
      <c r="B61" s="4" t="s">
        <v>137</v>
      </c>
      <c r="C61" s="163"/>
      <c r="D61" s="163"/>
    </row>
    <row r="62" spans="1:4" x14ac:dyDescent="0.25">
      <c r="A62" s="22" t="s">
        <v>98</v>
      </c>
      <c r="B62" s="4" t="s">
        <v>138</v>
      </c>
      <c r="C62" s="163"/>
      <c r="D62" s="163"/>
    </row>
    <row r="63" spans="1:4" x14ac:dyDescent="0.25">
      <c r="A63" s="22" t="s">
        <v>99</v>
      </c>
      <c r="B63" s="4" t="s">
        <v>139</v>
      </c>
      <c r="C63" s="163"/>
      <c r="D63" s="163"/>
    </row>
    <row r="64" spans="1:4" x14ac:dyDescent="0.25">
      <c r="A64" s="22" t="s">
        <v>100</v>
      </c>
      <c r="B64" s="4" t="s">
        <v>101</v>
      </c>
      <c r="C64" s="163"/>
      <c r="D64" s="163"/>
    </row>
    <row r="65" spans="1:4" x14ac:dyDescent="0.25">
      <c r="A65" s="22" t="s">
        <v>103</v>
      </c>
      <c r="B65" s="4" t="s">
        <v>104</v>
      </c>
      <c r="C65" s="163"/>
      <c r="D65" s="163"/>
    </row>
    <row r="66" spans="1:4" ht="16.5" thickBot="1" x14ac:dyDescent="0.3">
      <c r="A66" s="25" t="s">
        <v>105</v>
      </c>
      <c r="B66" s="10" t="s">
        <v>106</v>
      </c>
      <c r="C66" s="164"/>
      <c r="D66" s="164"/>
    </row>
    <row r="67" spans="1:4" ht="16.5" thickBot="1" x14ac:dyDescent="0.3">
      <c r="A67" s="14" t="s">
        <v>5</v>
      </c>
      <c r="B67" s="9" t="s">
        <v>120</v>
      </c>
      <c r="C67" s="160">
        <f>C68+C70+C72</f>
        <v>0</v>
      </c>
      <c r="D67" s="168">
        <f>D68+D70+D72</f>
        <v>0</v>
      </c>
    </row>
    <row r="68" spans="1:4" x14ac:dyDescent="0.25">
      <c r="A68" s="21" t="s">
        <v>12</v>
      </c>
      <c r="B68" s="8" t="s">
        <v>108</v>
      </c>
      <c r="C68" s="162"/>
      <c r="D68" s="162"/>
    </row>
    <row r="69" spans="1:4" x14ac:dyDescent="0.25">
      <c r="A69" s="22" t="s">
        <v>109</v>
      </c>
      <c r="B69" s="4" t="s">
        <v>110</v>
      </c>
      <c r="C69" s="163"/>
      <c r="D69" s="163"/>
    </row>
    <row r="70" spans="1:4" x14ac:dyDescent="0.25">
      <c r="A70" s="22" t="s">
        <v>14</v>
      </c>
      <c r="B70" s="4" t="s">
        <v>111</v>
      </c>
      <c r="C70" s="163"/>
      <c r="D70" s="163"/>
    </row>
    <row r="71" spans="1:4" x14ac:dyDescent="0.25">
      <c r="A71" s="22" t="s">
        <v>112</v>
      </c>
      <c r="B71" s="4" t="s">
        <v>113</v>
      </c>
      <c r="C71" s="163"/>
      <c r="D71" s="163"/>
    </row>
    <row r="72" spans="1:4" x14ac:dyDescent="0.25">
      <c r="A72" s="22" t="s">
        <v>114</v>
      </c>
      <c r="B72" s="4" t="s">
        <v>115</v>
      </c>
      <c r="C72" s="163"/>
      <c r="D72" s="163"/>
    </row>
    <row r="73" spans="1:4" x14ac:dyDescent="0.25">
      <c r="A73" s="22" t="s">
        <v>116</v>
      </c>
      <c r="B73" s="4" t="s">
        <v>117</v>
      </c>
      <c r="C73" s="163"/>
      <c r="D73" s="163"/>
    </row>
    <row r="74" spans="1:4" ht="16.5" thickBot="1" x14ac:dyDescent="0.3">
      <c r="A74" s="25" t="s">
        <v>118</v>
      </c>
      <c r="B74" s="10" t="s">
        <v>119</v>
      </c>
      <c r="C74" s="164"/>
      <c r="D74" s="164"/>
    </row>
    <row r="75" spans="1:4" ht="16.5" thickBot="1" x14ac:dyDescent="0.3">
      <c r="A75" s="14" t="s">
        <v>15</v>
      </c>
      <c r="B75" s="9" t="s">
        <v>121</v>
      </c>
      <c r="C75" s="160">
        <f>C53+C67</f>
        <v>7408</v>
      </c>
      <c r="D75" s="168">
        <f>D53+D67</f>
        <v>7408</v>
      </c>
    </row>
    <row r="76" spans="1:4" ht="16.5" thickBot="1" x14ac:dyDescent="0.3">
      <c r="A76" s="14" t="s">
        <v>20</v>
      </c>
      <c r="B76" s="9" t="s">
        <v>125</v>
      </c>
      <c r="C76" s="160">
        <f>SUM(C77:C79)</f>
        <v>0</v>
      </c>
      <c r="D76" s="168">
        <f>SUM(D77:D79)</f>
        <v>0</v>
      </c>
    </row>
    <row r="77" spans="1:4" x14ac:dyDescent="0.25">
      <c r="A77" s="21" t="s">
        <v>22</v>
      </c>
      <c r="B77" s="8" t="s">
        <v>122</v>
      </c>
      <c r="C77" s="162"/>
      <c r="D77" s="162"/>
    </row>
    <row r="78" spans="1:4" x14ac:dyDescent="0.25">
      <c r="A78" s="22" t="s">
        <v>26</v>
      </c>
      <c r="B78" s="4" t="s">
        <v>123</v>
      </c>
      <c r="C78" s="163"/>
      <c r="D78" s="163"/>
    </row>
    <row r="79" spans="1:4" ht="16.5" thickBot="1" x14ac:dyDescent="0.3">
      <c r="A79" s="25" t="s">
        <v>27</v>
      </c>
      <c r="B79" s="10" t="s">
        <v>124</v>
      </c>
      <c r="C79" s="164"/>
      <c r="D79" s="164"/>
    </row>
    <row r="80" spans="1:4" ht="16.5" thickBot="1" x14ac:dyDescent="0.3">
      <c r="A80" s="28" t="s">
        <v>29</v>
      </c>
      <c r="B80" s="29" t="s">
        <v>126</v>
      </c>
      <c r="C80" s="219"/>
      <c r="D80" s="211"/>
    </row>
    <row r="81" spans="1:4" ht="16.5" thickBot="1" x14ac:dyDescent="0.3">
      <c r="A81" s="14" t="s">
        <v>51</v>
      </c>
      <c r="B81" s="9" t="s">
        <v>129</v>
      </c>
      <c r="C81" s="160">
        <f>C82</f>
        <v>0</v>
      </c>
      <c r="D81" s="168">
        <f>D82</f>
        <v>0</v>
      </c>
    </row>
    <row r="82" spans="1:4" ht="16.5" thickBot="1" x14ac:dyDescent="0.3">
      <c r="A82" s="26" t="s">
        <v>127</v>
      </c>
      <c r="B82" s="27" t="s">
        <v>128</v>
      </c>
      <c r="C82" s="165"/>
      <c r="D82" s="165"/>
    </row>
    <row r="83" spans="1:4" ht="16.5" thickBot="1" x14ac:dyDescent="0.3">
      <c r="A83" s="14" t="s">
        <v>53</v>
      </c>
      <c r="B83" s="9" t="s">
        <v>130</v>
      </c>
      <c r="C83" s="160"/>
      <c r="D83" s="168"/>
    </row>
    <row r="84" spans="1:4" ht="16.5" thickBot="1" x14ac:dyDescent="0.3">
      <c r="A84" s="14" t="s">
        <v>55</v>
      </c>
      <c r="B84" s="9" t="s">
        <v>131</v>
      </c>
      <c r="C84" s="160"/>
      <c r="D84" s="168"/>
    </row>
    <row r="85" spans="1:4" ht="16.5" thickBot="1" x14ac:dyDescent="0.3">
      <c r="A85" s="14" t="s">
        <v>132</v>
      </c>
      <c r="B85" s="9" t="s">
        <v>133</v>
      </c>
      <c r="C85" s="160"/>
      <c r="D85" s="168"/>
    </row>
    <row r="86" spans="1:4" ht="16.5" thickBot="1" x14ac:dyDescent="0.3">
      <c r="A86" s="14" t="s">
        <v>58</v>
      </c>
      <c r="B86" s="9" t="s">
        <v>134</v>
      </c>
      <c r="C86" s="160">
        <f>C76+C80+C81+C83+C84+C85</f>
        <v>0</v>
      </c>
      <c r="D86" s="168">
        <f>D76+D80+D81+D83+D84+D85</f>
        <v>0</v>
      </c>
    </row>
    <row r="87" spans="1:4" ht="16.5" thickBot="1" x14ac:dyDescent="0.3">
      <c r="A87" s="14" t="s">
        <v>66</v>
      </c>
      <c r="B87" s="9" t="s">
        <v>135</v>
      </c>
      <c r="C87" s="160">
        <f>C75+C86</f>
        <v>7408</v>
      </c>
      <c r="D87" s="168">
        <f>D75+D86</f>
        <v>7408</v>
      </c>
    </row>
    <row r="89" spans="1:4" s="30" customFormat="1" ht="29.25" customHeight="1" x14ac:dyDescent="0.25">
      <c r="A89" s="378" t="s">
        <v>140</v>
      </c>
      <c r="B89" s="378"/>
      <c r="C89" s="378"/>
    </row>
    <row r="90" spans="1:4" ht="16.5" thickBot="1" x14ac:dyDescent="0.3">
      <c r="A90" s="18" t="s">
        <v>141</v>
      </c>
      <c r="B90" s="1"/>
      <c r="C90" s="159"/>
    </row>
    <row r="91" spans="1:4" ht="32.25" thickBot="1" x14ac:dyDescent="0.3">
      <c r="A91" s="14" t="s">
        <v>3</v>
      </c>
      <c r="B91" s="11" t="s">
        <v>142</v>
      </c>
      <c r="C91" s="202">
        <f>C34-C75</f>
        <v>0</v>
      </c>
      <c r="D91" s="169">
        <f>D34-D75</f>
        <v>0</v>
      </c>
    </row>
    <row r="92" spans="1:4" ht="32.25" thickBot="1" x14ac:dyDescent="0.3">
      <c r="A92" s="14" t="s">
        <v>5</v>
      </c>
      <c r="B92" s="11" t="s">
        <v>143</v>
      </c>
      <c r="C92" s="202">
        <f>C47-C86</f>
        <v>0</v>
      </c>
      <c r="D92" s="169">
        <f>D47-D86</f>
        <v>0</v>
      </c>
    </row>
  </sheetData>
  <mergeCells count="6">
    <mergeCell ref="A89:C89"/>
    <mergeCell ref="A50:C50"/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2"/>
  <sheetViews>
    <sheetView workbookViewId="0">
      <selection activeCell="D17" sqref="D17"/>
    </sheetView>
  </sheetViews>
  <sheetFormatPr defaultRowHeight="15.75" x14ac:dyDescent="0.25"/>
  <cols>
    <col min="1" max="1" width="5.7109375" style="13" customWidth="1"/>
    <col min="2" max="2" width="57.5703125" style="2" bestFit="1" customWidth="1"/>
    <col min="3" max="4" width="14.7109375" style="120" customWidth="1"/>
    <col min="5" max="5" width="53.85546875" style="2" bestFit="1" customWidth="1"/>
    <col min="6" max="6" width="14.7109375" style="120" customWidth="1"/>
    <col min="7" max="7" width="14.5703125" style="2" customWidth="1"/>
    <col min="8" max="16384" width="9.140625" style="2"/>
  </cols>
  <sheetData>
    <row r="1" spans="1:7" x14ac:dyDescent="0.25">
      <c r="B1" s="382" t="s">
        <v>412</v>
      </c>
      <c r="C1" s="382"/>
      <c r="D1" s="382"/>
      <c r="E1" s="382"/>
      <c r="F1" s="382"/>
      <c r="G1" s="382"/>
    </row>
    <row r="2" spans="1:7" ht="54.75" customHeight="1" x14ac:dyDescent="0.25">
      <c r="A2" s="383" t="s">
        <v>144</v>
      </c>
      <c r="B2" s="383"/>
      <c r="C2" s="383"/>
      <c r="D2" s="383"/>
      <c r="E2" s="383"/>
      <c r="F2" s="383"/>
      <c r="G2" s="383"/>
    </row>
    <row r="3" spans="1:7" x14ac:dyDescent="0.25">
      <c r="A3" s="384" t="s">
        <v>145</v>
      </c>
      <c r="B3" s="384"/>
      <c r="C3" s="384"/>
      <c r="D3" s="384"/>
      <c r="E3" s="384"/>
      <c r="F3" s="384"/>
      <c r="G3" s="384"/>
    </row>
    <row r="4" spans="1:7" ht="16.5" thickBot="1" x14ac:dyDescent="0.3">
      <c r="A4" s="382" t="s">
        <v>338</v>
      </c>
      <c r="B4" s="382"/>
      <c r="C4" s="382"/>
      <c r="D4" s="382"/>
      <c r="E4" s="382"/>
      <c r="F4" s="382"/>
    </row>
    <row r="5" spans="1:7" s="30" customFormat="1" ht="32.25" thickBot="1" x14ac:dyDescent="0.3">
      <c r="A5" s="40" t="s">
        <v>4</v>
      </c>
      <c r="B5" s="6" t="s">
        <v>146</v>
      </c>
      <c r="C5" s="203" t="s">
        <v>395</v>
      </c>
      <c r="D5" s="206" t="s">
        <v>396</v>
      </c>
      <c r="E5" s="6" t="s">
        <v>147</v>
      </c>
      <c r="F5" s="203" t="s">
        <v>395</v>
      </c>
      <c r="G5" s="206" t="s">
        <v>396</v>
      </c>
    </row>
    <row r="6" spans="1:7" s="13" customFormat="1" ht="16.5" thickBot="1" x14ac:dyDescent="0.3">
      <c r="A6" s="34" t="s">
        <v>148</v>
      </c>
      <c r="B6" s="35" t="s">
        <v>171</v>
      </c>
      <c r="C6" s="121" t="s">
        <v>149</v>
      </c>
      <c r="D6" s="121" t="s">
        <v>150</v>
      </c>
      <c r="E6" s="35" t="s">
        <v>151</v>
      </c>
      <c r="F6" s="213" t="s">
        <v>190</v>
      </c>
      <c r="G6" s="214" t="s">
        <v>198</v>
      </c>
    </row>
    <row r="7" spans="1:7" x14ac:dyDescent="0.25">
      <c r="A7" s="33" t="s">
        <v>3</v>
      </c>
      <c r="B7" s="8" t="s">
        <v>152</v>
      </c>
      <c r="C7" s="162">
        <v>289048.07</v>
      </c>
      <c r="D7" s="162">
        <v>301656.07</v>
      </c>
      <c r="E7" s="8" t="s">
        <v>90</v>
      </c>
      <c r="F7" s="162">
        <v>351143.73</v>
      </c>
      <c r="G7" s="162">
        <v>374316.33</v>
      </c>
    </row>
    <row r="8" spans="1:7" x14ac:dyDescent="0.25">
      <c r="A8" s="32" t="s">
        <v>5</v>
      </c>
      <c r="B8" s="4" t="s">
        <v>153</v>
      </c>
      <c r="C8" s="163">
        <v>111583.408</v>
      </c>
      <c r="D8" s="163">
        <v>131400.016</v>
      </c>
      <c r="E8" s="4" t="s">
        <v>154</v>
      </c>
      <c r="F8" s="163">
        <v>63075.248</v>
      </c>
      <c r="G8" s="163">
        <v>65833.281000000003</v>
      </c>
    </row>
    <row r="9" spans="1:7" x14ac:dyDescent="0.25">
      <c r="A9" s="32" t="s">
        <v>15</v>
      </c>
      <c r="B9" s="4" t="s">
        <v>156</v>
      </c>
      <c r="C9" s="163">
        <v>20830.810000000001</v>
      </c>
      <c r="D9" s="163">
        <v>20830.810000000001</v>
      </c>
      <c r="E9" s="4" t="s">
        <v>157</v>
      </c>
      <c r="F9" s="163">
        <v>248725.177</v>
      </c>
      <c r="G9" s="163">
        <v>249468.33300000001</v>
      </c>
    </row>
    <row r="10" spans="1:7" x14ac:dyDescent="0.25">
      <c r="A10" s="32" t="s">
        <v>20</v>
      </c>
      <c r="B10" s="4" t="s">
        <v>158</v>
      </c>
      <c r="C10" s="163">
        <v>118432</v>
      </c>
      <c r="D10" s="163">
        <v>118432</v>
      </c>
      <c r="E10" s="4" t="s">
        <v>93</v>
      </c>
      <c r="F10" s="163">
        <v>5300</v>
      </c>
      <c r="G10" s="163">
        <v>5300</v>
      </c>
    </row>
    <row r="11" spans="1:7" x14ac:dyDescent="0.25">
      <c r="A11" s="32" t="s">
        <v>29</v>
      </c>
      <c r="B11" s="4" t="s">
        <v>159</v>
      </c>
      <c r="C11" s="163">
        <v>66433.5</v>
      </c>
      <c r="D11" s="163">
        <v>66433.5</v>
      </c>
      <c r="E11" s="4" t="s">
        <v>94</v>
      </c>
      <c r="F11" s="163">
        <v>44118.303</v>
      </c>
      <c r="G11" s="163">
        <f>21414.1+23321.321</f>
        <v>44735.421000000002</v>
      </c>
    </row>
    <row r="12" spans="1:7" x14ac:dyDescent="0.25">
      <c r="A12" s="32" t="s">
        <v>51</v>
      </c>
      <c r="B12" s="4" t="s">
        <v>160</v>
      </c>
      <c r="C12" s="163">
        <v>258</v>
      </c>
      <c r="D12" s="163">
        <v>258</v>
      </c>
      <c r="E12" s="4" t="s">
        <v>101</v>
      </c>
      <c r="F12" s="163">
        <v>27625.455000000002</v>
      </c>
      <c r="G12" s="163">
        <v>32446.692999999999</v>
      </c>
    </row>
    <row r="13" spans="1:7" ht="16.5" thickBot="1" x14ac:dyDescent="0.3">
      <c r="A13" s="36" t="s">
        <v>53</v>
      </c>
      <c r="B13" s="10" t="s">
        <v>161</v>
      </c>
      <c r="C13" s="164"/>
      <c r="D13" s="164"/>
      <c r="E13" s="10"/>
      <c r="F13" s="164"/>
      <c r="G13" s="163"/>
    </row>
    <row r="14" spans="1:7" ht="16.5" thickBot="1" x14ac:dyDescent="0.3">
      <c r="A14" s="34" t="s">
        <v>55</v>
      </c>
      <c r="B14" s="9" t="s">
        <v>162</v>
      </c>
      <c r="C14" s="168">
        <f>C7+C8+C10+C11+C12</f>
        <v>585754.978</v>
      </c>
      <c r="D14" s="168">
        <f>D7+D8+D10+D11+D12</f>
        <v>618179.58600000001</v>
      </c>
      <c r="E14" s="9" t="s">
        <v>163</v>
      </c>
      <c r="F14" s="160">
        <f>SUM(F7:F13)</f>
        <v>739987.91299999994</v>
      </c>
      <c r="G14" s="169">
        <f>SUM(G7:G13)</f>
        <v>772100.05799999996</v>
      </c>
    </row>
    <row r="15" spans="1:7" x14ac:dyDescent="0.25">
      <c r="A15" s="189" t="s">
        <v>57</v>
      </c>
      <c r="B15" s="118" t="s">
        <v>166</v>
      </c>
      <c r="C15" s="190">
        <f>C16</f>
        <v>169584.258</v>
      </c>
      <c r="D15" s="190">
        <f>D16</f>
        <v>169271.79500000001</v>
      </c>
      <c r="E15" s="8" t="s">
        <v>170</v>
      </c>
      <c r="F15" s="162"/>
      <c r="G15" s="163"/>
    </row>
    <row r="16" spans="1:7" x14ac:dyDescent="0.25">
      <c r="A16" s="32" t="s">
        <v>58</v>
      </c>
      <c r="B16" s="4" t="s">
        <v>164</v>
      </c>
      <c r="C16" s="163">
        <v>169584.258</v>
      </c>
      <c r="D16" s="163">
        <v>169271.79500000001</v>
      </c>
      <c r="E16" s="4" t="s">
        <v>128</v>
      </c>
      <c r="F16" s="163">
        <v>10031.323</v>
      </c>
      <c r="G16" s="163">
        <v>10031.323</v>
      </c>
    </row>
    <row r="17" spans="1:7" x14ac:dyDescent="0.25">
      <c r="A17" s="32" t="s">
        <v>66</v>
      </c>
      <c r="B17" s="4" t="s">
        <v>167</v>
      </c>
      <c r="C17" s="163"/>
      <c r="D17" s="163"/>
      <c r="E17" s="4" t="s">
        <v>492</v>
      </c>
      <c r="F17" s="163">
        <v>5320</v>
      </c>
      <c r="G17" s="163">
        <v>5320</v>
      </c>
    </row>
    <row r="18" spans="1:7" ht="16.5" thickBot="1" x14ac:dyDescent="0.3">
      <c r="A18" s="36" t="s">
        <v>68</v>
      </c>
      <c r="B18" s="10" t="s">
        <v>165</v>
      </c>
      <c r="C18" s="164"/>
      <c r="D18" s="164"/>
      <c r="E18" s="10"/>
      <c r="F18" s="164"/>
      <c r="G18" s="163"/>
    </row>
    <row r="19" spans="1:7" ht="16.5" thickBot="1" x14ac:dyDescent="0.3">
      <c r="A19" s="34" t="s">
        <v>70</v>
      </c>
      <c r="B19" s="9" t="s">
        <v>168</v>
      </c>
      <c r="C19" s="168">
        <f>C15+C17</f>
        <v>169584.258</v>
      </c>
      <c r="D19" s="168">
        <f>D15+D17</f>
        <v>169271.79500000001</v>
      </c>
      <c r="E19" s="9" t="s">
        <v>319</v>
      </c>
      <c r="F19" s="160">
        <f>SUM(F15:F18)</f>
        <v>15351.323</v>
      </c>
      <c r="G19" s="169">
        <f>SUM(G15:G18)</f>
        <v>15351.323</v>
      </c>
    </row>
    <row r="20" spans="1:7" ht="16.5" thickBot="1" x14ac:dyDescent="0.3">
      <c r="A20" s="37" t="s">
        <v>76</v>
      </c>
      <c r="B20" s="38" t="s">
        <v>169</v>
      </c>
      <c r="C20" s="168">
        <f>C14+C19</f>
        <v>755339.23600000003</v>
      </c>
      <c r="D20" s="168">
        <f>D14+D19</f>
        <v>787451.38100000005</v>
      </c>
      <c r="E20" s="9" t="s">
        <v>172</v>
      </c>
      <c r="F20" s="160">
        <f>F14+F19</f>
        <v>755339.23599999992</v>
      </c>
      <c r="G20" s="169">
        <f>G14+G19</f>
        <v>787451.38099999994</v>
      </c>
    </row>
    <row r="21" spans="1:7" ht="16.5" thickBot="1" x14ac:dyDescent="0.3">
      <c r="A21" s="39" t="s">
        <v>78</v>
      </c>
      <c r="B21" s="38" t="s">
        <v>174</v>
      </c>
      <c r="C21" s="168">
        <f>F14-C14</f>
        <v>154232.93499999994</v>
      </c>
      <c r="D21" s="168">
        <f>G14-D14</f>
        <v>153920.47199999995</v>
      </c>
      <c r="E21" s="9" t="s">
        <v>173</v>
      </c>
      <c r="F21" s="160">
        <v>0</v>
      </c>
      <c r="G21" s="169">
        <v>0</v>
      </c>
    </row>
    <row r="22" spans="1:7" ht="16.5" thickBot="1" x14ac:dyDescent="0.3">
      <c r="A22" s="39" t="s">
        <v>155</v>
      </c>
      <c r="B22" s="38" t="s">
        <v>175</v>
      </c>
      <c r="C22" s="168">
        <f>C20-F20</f>
        <v>0</v>
      </c>
      <c r="D22" s="168">
        <f>D20-G20</f>
        <v>0</v>
      </c>
      <c r="E22" s="9" t="s">
        <v>176</v>
      </c>
      <c r="F22" s="160">
        <v>0</v>
      </c>
      <c r="G22" s="169">
        <v>0</v>
      </c>
    </row>
  </sheetData>
  <mergeCells count="4">
    <mergeCell ref="A4:F4"/>
    <mergeCell ref="B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2"/>
  <sheetViews>
    <sheetView workbookViewId="0">
      <selection activeCell="D17" sqref="D17"/>
    </sheetView>
  </sheetViews>
  <sheetFormatPr defaultRowHeight="15.75" x14ac:dyDescent="0.25"/>
  <cols>
    <col min="1" max="1" width="5.7109375" style="13" customWidth="1"/>
    <col min="2" max="2" width="60.28515625" style="2" bestFit="1" customWidth="1"/>
    <col min="3" max="4" width="14.7109375" style="120" customWidth="1"/>
    <col min="5" max="5" width="62.5703125" style="2" bestFit="1" customWidth="1"/>
    <col min="6" max="6" width="14.7109375" style="120" customWidth="1"/>
    <col min="7" max="7" width="12.5703125" style="2" customWidth="1"/>
    <col min="8" max="16384" width="9.140625" style="2"/>
  </cols>
  <sheetData>
    <row r="1" spans="1:7" x14ac:dyDescent="0.25">
      <c r="B1" s="382" t="s">
        <v>413</v>
      </c>
      <c r="C1" s="382"/>
      <c r="D1" s="382"/>
      <c r="E1" s="382"/>
      <c r="F1" s="382"/>
      <c r="G1" s="382"/>
    </row>
    <row r="2" spans="1:7" ht="60" customHeight="1" x14ac:dyDescent="0.25">
      <c r="A2" s="383" t="s">
        <v>177</v>
      </c>
      <c r="B2" s="383"/>
      <c r="C2" s="383"/>
      <c r="D2" s="383"/>
      <c r="E2" s="383"/>
      <c r="F2" s="383"/>
      <c r="G2" s="383"/>
    </row>
    <row r="3" spans="1:7" x14ac:dyDescent="0.25">
      <c r="A3" s="384" t="s">
        <v>145</v>
      </c>
      <c r="B3" s="384"/>
      <c r="C3" s="384"/>
      <c r="D3" s="384"/>
      <c r="E3" s="384"/>
      <c r="F3" s="384"/>
      <c r="G3" s="384"/>
    </row>
    <row r="4" spans="1:7" ht="16.5" thickBot="1" x14ac:dyDescent="0.3">
      <c r="A4" s="385" t="s">
        <v>338</v>
      </c>
      <c r="B4" s="385"/>
      <c r="C4" s="385"/>
      <c r="D4" s="385"/>
      <c r="E4" s="385"/>
      <c r="F4" s="385"/>
      <c r="G4" s="385"/>
    </row>
    <row r="5" spans="1:7" s="30" customFormat="1" ht="32.25" thickBot="1" x14ac:dyDescent="0.3">
      <c r="A5" s="40" t="s">
        <v>4</v>
      </c>
      <c r="B5" s="6" t="s">
        <v>146</v>
      </c>
      <c r="C5" s="203" t="s">
        <v>395</v>
      </c>
      <c r="D5" s="206" t="s">
        <v>396</v>
      </c>
      <c r="E5" s="6" t="s">
        <v>147</v>
      </c>
      <c r="F5" s="203" t="s">
        <v>395</v>
      </c>
      <c r="G5" s="206" t="s">
        <v>396</v>
      </c>
    </row>
    <row r="6" spans="1:7" s="13" customFormat="1" ht="16.5" thickBot="1" x14ac:dyDescent="0.3">
      <c r="A6" s="34" t="s">
        <v>148</v>
      </c>
      <c r="B6" s="35" t="s">
        <v>171</v>
      </c>
      <c r="C6" s="121" t="s">
        <v>149</v>
      </c>
      <c r="D6" s="121"/>
      <c r="E6" s="35" t="s">
        <v>150</v>
      </c>
      <c r="F6" s="213" t="s">
        <v>151</v>
      </c>
      <c r="G6" s="32"/>
    </row>
    <row r="7" spans="1:7" x14ac:dyDescent="0.25">
      <c r="A7" s="33" t="s">
        <v>3</v>
      </c>
      <c r="B7" s="8" t="s">
        <v>178</v>
      </c>
      <c r="C7" s="162">
        <v>117562.95</v>
      </c>
      <c r="D7" s="162">
        <v>118980.39</v>
      </c>
      <c r="E7" s="8" t="s">
        <v>108</v>
      </c>
      <c r="F7" s="162">
        <v>575368.06200000003</v>
      </c>
      <c r="G7" s="163">
        <v>546847.06099999999</v>
      </c>
    </row>
    <row r="8" spans="1:7" x14ac:dyDescent="0.25">
      <c r="A8" s="32" t="s">
        <v>5</v>
      </c>
      <c r="B8" s="4" t="s">
        <v>179</v>
      </c>
      <c r="C8" s="163">
        <v>115562.95</v>
      </c>
      <c r="D8" s="163">
        <v>116980.39</v>
      </c>
      <c r="E8" s="4" t="s">
        <v>493</v>
      </c>
      <c r="F8" s="163">
        <v>568754.88199999998</v>
      </c>
      <c r="G8" s="163">
        <v>539917.21499999997</v>
      </c>
    </row>
    <row r="9" spans="1:7" x14ac:dyDescent="0.25">
      <c r="A9" s="32" t="s">
        <v>15</v>
      </c>
      <c r="B9" s="4" t="s">
        <v>52</v>
      </c>
      <c r="C9" s="163"/>
      <c r="D9" s="163"/>
      <c r="E9" s="4" t="s">
        <v>111</v>
      </c>
      <c r="F9" s="163">
        <v>28041.8</v>
      </c>
      <c r="G9" s="163">
        <v>81242.209000000003</v>
      </c>
    </row>
    <row r="10" spans="1:7" x14ac:dyDescent="0.25">
      <c r="A10" s="32" t="s">
        <v>20</v>
      </c>
      <c r="B10" s="4" t="s">
        <v>180</v>
      </c>
      <c r="C10" s="163"/>
      <c r="D10" s="163"/>
      <c r="E10" s="4" t="s">
        <v>183</v>
      </c>
      <c r="F10" s="163">
        <v>23859</v>
      </c>
      <c r="G10" s="163">
        <v>77059.409</v>
      </c>
    </row>
    <row r="11" spans="1:7" x14ac:dyDescent="0.25">
      <c r="A11" s="32" t="s">
        <v>29</v>
      </c>
      <c r="B11" s="4" t="s">
        <v>181</v>
      </c>
      <c r="C11" s="163"/>
      <c r="D11" s="163"/>
      <c r="E11" s="4" t="s">
        <v>115</v>
      </c>
      <c r="F11" s="163">
        <v>1000</v>
      </c>
      <c r="G11" s="163">
        <v>1000</v>
      </c>
    </row>
    <row r="12" spans="1:7" x14ac:dyDescent="0.25">
      <c r="A12" s="32" t="s">
        <v>51</v>
      </c>
      <c r="B12" s="4" t="s">
        <v>182</v>
      </c>
      <c r="C12" s="163"/>
      <c r="D12" s="163"/>
      <c r="E12" s="4" t="s">
        <v>317</v>
      </c>
      <c r="F12" s="163">
        <v>3517.94</v>
      </c>
      <c r="G12" s="163">
        <v>3517.94</v>
      </c>
    </row>
    <row r="13" spans="1:7" ht="16.5" thickBot="1" x14ac:dyDescent="0.3">
      <c r="A13" s="36" t="s">
        <v>53</v>
      </c>
      <c r="B13" s="10" t="s">
        <v>373</v>
      </c>
      <c r="C13" s="164"/>
      <c r="D13" s="164"/>
      <c r="E13" s="10"/>
      <c r="F13" s="164"/>
      <c r="G13" s="163"/>
    </row>
    <row r="14" spans="1:7" ht="16.5" thickBot="1" x14ac:dyDescent="0.3">
      <c r="A14" s="34" t="s">
        <v>55</v>
      </c>
      <c r="B14" s="9" t="s">
        <v>184</v>
      </c>
      <c r="C14" s="168">
        <f>C7+C9+C12+C13</f>
        <v>117562.95</v>
      </c>
      <c r="D14" s="168">
        <f>D7+D9+D12+D13</f>
        <v>118980.39</v>
      </c>
      <c r="E14" s="9" t="s">
        <v>318</v>
      </c>
      <c r="F14" s="160">
        <f>F7+F9+F11+F12</f>
        <v>607927.80200000003</v>
      </c>
      <c r="G14" s="169">
        <f>G7+G9+G11+G12</f>
        <v>632607.21</v>
      </c>
    </row>
    <row r="15" spans="1:7" x14ac:dyDescent="0.25">
      <c r="A15" s="189" t="s">
        <v>57</v>
      </c>
      <c r="B15" s="118" t="s">
        <v>166</v>
      </c>
      <c r="C15" s="190">
        <f>C16</f>
        <v>490364.85200000001</v>
      </c>
      <c r="D15" s="190">
        <f>D16</f>
        <v>513626.82</v>
      </c>
      <c r="E15" s="8" t="s">
        <v>186</v>
      </c>
      <c r="F15" s="162"/>
      <c r="G15" s="163"/>
    </row>
    <row r="16" spans="1:7" x14ac:dyDescent="0.25">
      <c r="A16" s="32" t="s">
        <v>58</v>
      </c>
      <c r="B16" s="4" t="s">
        <v>164</v>
      </c>
      <c r="C16" s="163">
        <v>490364.85200000001</v>
      </c>
      <c r="D16" s="163">
        <v>513626.82</v>
      </c>
      <c r="E16" s="4"/>
      <c r="F16" s="163"/>
      <c r="G16" s="163"/>
    </row>
    <row r="17" spans="1:7" x14ac:dyDescent="0.25">
      <c r="A17" s="32" t="s">
        <v>66</v>
      </c>
      <c r="B17" s="4" t="s">
        <v>167</v>
      </c>
      <c r="C17" s="163"/>
      <c r="D17" s="163"/>
      <c r="E17" s="4"/>
      <c r="F17" s="163"/>
      <c r="G17" s="163"/>
    </row>
    <row r="18" spans="1:7" ht="16.5" thickBot="1" x14ac:dyDescent="0.3">
      <c r="A18" s="36" t="s">
        <v>68</v>
      </c>
      <c r="B18" s="10" t="s">
        <v>185</v>
      </c>
      <c r="C18" s="164"/>
      <c r="D18" s="164"/>
      <c r="E18" s="10"/>
      <c r="F18" s="164"/>
      <c r="G18" s="164"/>
    </row>
    <row r="19" spans="1:7" ht="16.5" thickBot="1" x14ac:dyDescent="0.3">
      <c r="A19" s="34" t="s">
        <v>70</v>
      </c>
      <c r="B19" s="9" t="s">
        <v>187</v>
      </c>
      <c r="C19" s="168">
        <f>C15+C17</f>
        <v>490364.85200000001</v>
      </c>
      <c r="D19" s="168">
        <f>D15+D17</f>
        <v>513626.82</v>
      </c>
      <c r="E19" s="9" t="s">
        <v>188</v>
      </c>
      <c r="F19" s="160"/>
      <c r="G19" s="208"/>
    </row>
    <row r="20" spans="1:7" ht="16.5" thickBot="1" x14ac:dyDescent="0.3">
      <c r="A20" s="37" t="s">
        <v>76</v>
      </c>
      <c r="B20" s="38" t="s">
        <v>169</v>
      </c>
      <c r="C20" s="168">
        <f>C14+C19</f>
        <v>607927.80200000003</v>
      </c>
      <c r="D20" s="168">
        <f>D14+D19</f>
        <v>632607.21</v>
      </c>
      <c r="E20" s="9" t="s">
        <v>172</v>
      </c>
      <c r="F20" s="160">
        <f>F14+F19</f>
        <v>607927.80200000003</v>
      </c>
      <c r="G20" s="169">
        <f>G14+G19</f>
        <v>632607.21</v>
      </c>
    </row>
    <row r="21" spans="1:7" ht="16.5" thickBot="1" x14ac:dyDescent="0.3">
      <c r="A21" s="39" t="s">
        <v>78</v>
      </c>
      <c r="B21" s="38" t="s">
        <v>174</v>
      </c>
      <c r="C21" s="168">
        <f>F14-C14</f>
        <v>490364.85200000001</v>
      </c>
      <c r="D21" s="168">
        <f>G14-D14</f>
        <v>513626.81999999995</v>
      </c>
      <c r="E21" s="9" t="s">
        <v>173</v>
      </c>
      <c r="F21" s="160">
        <v>0</v>
      </c>
      <c r="G21" s="169">
        <v>0</v>
      </c>
    </row>
    <row r="22" spans="1:7" ht="16.5" thickBot="1" x14ac:dyDescent="0.3">
      <c r="A22" s="39" t="s">
        <v>155</v>
      </c>
      <c r="B22" s="38" t="s">
        <v>175</v>
      </c>
      <c r="C22" s="168">
        <f>C20-F20</f>
        <v>0</v>
      </c>
      <c r="D22" s="168">
        <f>D20-G20</f>
        <v>0</v>
      </c>
      <c r="E22" s="9" t="s">
        <v>176</v>
      </c>
      <c r="F22" s="160">
        <v>0</v>
      </c>
      <c r="G22" s="169">
        <f>G20-D20</f>
        <v>0</v>
      </c>
    </row>
  </sheetData>
  <mergeCells count="4">
    <mergeCell ref="B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94"/>
  <sheetViews>
    <sheetView showWhiteSpace="0" view="pageBreakPreview" zoomScaleNormal="100" zoomScaleSheetLayoutView="100" workbookViewId="0">
      <pane xSplit="4" ySplit="4" topLeftCell="E63" activePane="bottomRight" state="frozen"/>
      <selection pane="topRight" activeCell="D1" sqref="D1"/>
      <selection pane="bottomLeft" activeCell="A6" sqref="A6"/>
      <selection pane="bottomRight" activeCell="J63" sqref="J63"/>
    </sheetView>
  </sheetViews>
  <sheetFormatPr defaultRowHeight="15" x14ac:dyDescent="0.25"/>
  <cols>
    <col min="1" max="1" width="9.140625" style="314"/>
    <col min="2" max="2" width="8.28515625" style="47" hidden="1" customWidth="1"/>
    <col min="3" max="3" width="14" style="47" customWidth="1"/>
    <col min="4" max="4" width="63.5703125" style="47" customWidth="1"/>
    <col min="5" max="6" width="11.28515625" style="122" bestFit="1" customWidth="1"/>
    <col min="7" max="10" width="12.42578125" style="122" bestFit="1" customWidth="1"/>
    <col min="11" max="12" width="12.42578125" style="122" customWidth="1"/>
    <col min="13" max="14" width="12.42578125" style="122" bestFit="1" customWidth="1"/>
    <col min="15" max="15" width="13.42578125" style="122" customWidth="1"/>
    <col min="16" max="16" width="14" style="122" customWidth="1"/>
    <col min="17" max="17" width="11" style="122" bestFit="1" customWidth="1"/>
    <col min="18" max="18" width="8.42578125" style="122" bestFit="1" customWidth="1"/>
    <col min="19" max="22" width="12.42578125" style="122" bestFit="1" customWidth="1"/>
    <col min="23" max="23" width="14.5703125" style="122" customWidth="1"/>
    <col min="24" max="24" width="11.28515625" style="47" hidden="1" customWidth="1"/>
    <col min="25" max="25" width="14" style="47" customWidth="1"/>
    <col min="26" max="16384" width="9.140625" style="47"/>
  </cols>
  <sheetData>
    <row r="1" spans="1:29" x14ac:dyDescent="0.25">
      <c r="B1" s="158"/>
      <c r="Q1" s="386" t="s">
        <v>414</v>
      </c>
      <c r="R1" s="386"/>
      <c r="S1" s="386"/>
      <c r="T1" s="386"/>
      <c r="U1" s="386"/>
      <c r="V1" s="386"/>
      <c r="W1" s="386"/>
    </row>
    <row r="2" spans="1:29" ht="45.75" customHeight="1" x14ac:dyDescent="0.25">
      <c r="A2" s="313">
        <v>1</v>
      </c>
      <c r="B2" s="45">
        <v>1</v>
      </c>
      <c r="C2" s="45"/>
      <c r="D2" s="387" t="s">
        <v>415</v>
      </c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</row>
    <row r="3" spans="1:29" ht="62.25" customHeight="1" x14ac:dyDescent="0.25">
      <c r="A3" s="313">
        <v>2</v>
      </c>
      <c r="B3" s="45">
        <v>2</v>
      </c>
      <c r="C3" s="105" t="s">
        <v>202</v>
      </c>
      <c r="D3" s="106" t="s">
        <v>203</v>
      </c>
      <c r="E3" s="388" t="s">
        <v>159</v>
      </c>
      <c r="F3" s="389"/>
      <c r="G3" s="388" t="s">
        <v>158</v>
      </c>
      <c r="H3" s="389"/>
      <c r="I3" s="388" t="s">
        <v>204</v>
      </c>
      <c r="J3" s="389"/>
      <c r="K3" s="388" t="s">
        <v>373</v>
      </c>
      <c r="L3" s="389"/>
      <c r="M3" s="388" t="s">
        <v>205</v>
      </c>
      <c r="N3" s="389"/>
      <c r="O3" s="388" t="s">
        <v>206</v>
      </c>
      <c r="P3" s="389"/>
      <c r="Q3" s="388" t="s">
        <v>207</v>
      </c>
      <c r="R3" s="389"/>
      <c r="S3" s="388" t="s">
        <v>511</v>
      </c>
      <c r="T3" s="389"/>
      <c r="U3" s="388" t="s">
        <v>208</v>
      </c>
      <c r="V3" s="389"/>
      <c r="W3" s="390" t="s">
        <v>209</v>
      </c>
      <c r="X3" s="390"/>
      <c r="Y3" s="390"/>
    </row>
    <row r="4" spans="1:29" s="114" customFormat="1" ht="32.25" customHeight="1" x14ac:dyDescent="0.25">
      <c r="A4" s="315">
        <v>3</v>
      </c>
      <c r="B4" s="110">
        <v>3</v>
      </c>
      <c r="C4" s="110"/>
      <c r="D4" s="106" t="s">
        <v>189</v>
      </c>
      <c r="E4" s="316" t="s">
        <v>416</v>
      </c>
      <c r="F4" s="82" t="s">
        <v>417</v>
      </c>
      <c r="G4" s="316" t="s">
        <v>416</v>
      </c>
      <c r="H4" s="82" t="s">
        <v>417</v>
      </c>
      <c r="I4" s="316" t="s">
        <v>416</v>
      </c>
      <c r="J4" s="82" t="s">
        <v>417</v>
      </c>
      <c r="K4" s="316" t="s">
        <v>416</v>
      </c>
      <c r="L4" s="82" t="s">
        <v>417</v>
      </c>
      <c r="M4" s="316" t="s">
        <v>416</v>
      </c>
      <c r="N4" s="82" t="s">
        <v>417</v>
      </c>
      <c r="O4" s="316" t="s">
        <v>418</v>
      </c>
      <c r="P4" s="82" t="s">
        <v>417</v>
      </c>
      <c r="Q4" s="316" t="s">
        <v>416</v>
      </c>
      <c r="R4" s="82" t="s">
        <v>417</v>
      </c>
      <c r="S4" s="316" t="s">
        <v>416</v>
      </c>
      <c r="T4" s="82" t="s">
        <v>417</v>
      </c>
      <c r="U4" s="316" t="s">
        <v>416</v>
      </c>
      <c r="V4" s="82" t="s">
        <v>417</v>
      </c>
      <c r="W4" s="193" t="s">
        <v>416</v>
      </c>
      <c r="X4" s="107" t="s">
        <v>210</v>
      </c>
      <c r="Y4" s="194" t="s">
        <v>417</v>
      </c>
      <c r="Z4" s="195"/>
      <c r="AA4" s="195"/>
      <c r="AB4" s="195"/>
      <c r="AC4" s="195"/>
    </row>
    <row r="5" spans="1:29" x14ac:dyDescent="0.25">
      <c r="A5" s="45">
        <v>4</v>
      </c>
      <c r="B5" s="45" t="s">
        <v>211</v>
      </c>
      <c r="C5" s="45" t="s">
        <v>211</v>
      </c>
      <c r="D5" s="46" t="s">
        <v>494</v>
      </c>
      <c r="E5" s="123"/>
      <c r="F5" s="123"/>
      <c r="G5" s="124">
        <v>106000</v>
      </c>
      <c r="H5" s="124">
        <f>G5</f>
        <v>106000</v>
      </c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5">
        <f t="shared" ref="W5:W31" si="0">E5+G5+I5+M5+O5+Q5+U5+K5</f>
        <v>106000</v>
      </c>
      <c r="X5" s="125">
        <f t="shared" ref="X5" si="1">F5+H5+J5+N5+P5+R5+V5+L5</f>
        <v>106000</v>
      </c>
      <c r="Y5" s="125">
        <f>F5+H5+J5+L5+N5+P5+R5+T5+V5</f>
        <v>106000</v>
      </c>
      <c r="Z5" s="108"/>
      <c r="AA5" s="108"/>
      <c r="AB5" s="108"/>
      <c r="AC5" s="108"/>
    </row>
    <row r="6" spans="1:29" x14ac:dyDescent="0.25">
      <c r="A6" s="45">
        <v>5</v>
      </c>
      <c r="B6" s="45" t="s">
        <v>211</v>
      </c>
      <c r="C6" s="45" t="s">
        <v>211</v>
      </c>
      <c r="D6" s="46" t="s">
        <v>495</v>
      </c>
      <c r="E6" s="123"/>
      <c r="F6" s="123"/>
      <c r="G6" s="124">
        <v>50</v>
      </c>
      <c r="H6" s="124">
        <f t="shared" ref="H6:H12" si="2">G6</f>
        <v>50</v>
      </c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5">
        <f t="shared" si="0"/>
        <v>50</v>
      </c>
      <c r="X6" s="125">
        <f t="shared" ref="X6:X47" si="3">F6+H6+J6+N6+P6+R6+V6</f>
        <v>50</v>
      </c>
      <c r="Y6" s="125">
        <f t="shared" ref="Y6:Y64" si="4">F6+H6+J6+L6+N6+P6+R6+T6+V6</f>
        <v>50</v>
      </c>
    </row>
    <row r="7" spans="1:29" x14ac:dyDescent="0.25">
      <c r="A7" s="45">
        <v>6</v>
      </c>
      <c r="B7" s="45" t="s">
        <v>211</v>
      </c>
      <c r="C7" s="45" t="s">
        <v>211</v>
      </c>
      <c r="D7" s="46" t="s">
        <v>212</v>
      </c>
      <c r="E7" s="123"/>
      <c r="F7" s="123"/>
      <c r="G7" s="124">
        <v>11000</v>
      </c>
      <c r="H7" s="124">
        <f t="shared" si="2"/>
        <v>11000</v>
      </c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5">
        <f t="shared" si="0"/>
        <v>11000</v>
      </c>
      <c r="X7" s="125">
        <f t="shared" si="3"/>
        <v>11000</v>
      </c>
      <c r="Y7" s="125">
        <f t="shared" si="4"/>
        <v>11000</v>
      </c>
    </row>
    <row r="8" spans="1:29" x14ac:dyDescent="0.25">
      <c r="A8" s="45">
        <v>7</v>
      </c>
      <c r="B8" s="45" t="s">
        <v>211</v>
      </c>
      <c r="C8" s="45" t="s">
        <v>211</v>
      </c>
      <c r="D8" s="46" t="s">
        <v>213</v>
      </c>
      <c r="E8" s="123"/>
      <c r="F8" s="123"/>
      <c r="G8" s="124">
        <v>465</v>
      </c>
      <c r="H8" s="124">
        <f t="shared" si="2"/>
        <v>465</v>
      </c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5">
        <f t="shared" si="0"/>
        <v>465</v>
      </c>
      <c r="X8" s="125">
        <f t="shared" si="3"/>
        <v>465</v>
      </c>
      <c r="Y8" s="125">
        <f t="shared" si="4"/>
        <v>465</v>
      </c>
    </row>
    <row r="9" spans="1:29" x14ac:dyDescent="0.25">
      <c r="A9" s="45">
        <v>8</v>
      </c>
      <c r="B9" s="45" t="s">
        <v>211</v>
      </c>
      <c r="C9" s="45" t="s">
        <v>211</v>
      </c>
      <c r="D9" s="46" t="s">
        <v>49</v>
      </c>
      <c r="E9" s="124"/>
      <c r="F9" s="124"/>
      <c r="G9" s="123">
        <v>445</v>
      </c>
      <c r="H9" s="124">
        <f t="shared" si="2"/>
        <v>445</v>
      </c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5">
        <f t="shared" si="0"/>
        <v>445</v>
      </c>
      <c r="X9" s="125">
        <f t="shared" si="3"/>
        <v>445</v>
      </c>
      <c r="Y9" s="125">
        <f t="shared" si="4"/>
        <v>445</v>
      </c>
    </row>
    <row r="10" spans="1:29" x14ac:dyDescent="0.25">
      <c r="A10" s="45">
        <v>9</v>
      </c>
      <c r="B10" s="45" t="s">
        <v>211</v>
      </c>
      <c r="C10" s="45" t="s">
        <v>211</v>
      </c>
      <c r="D10" s="46" t="s">
        <v>367</v>
      </c>
      <c r="E10" s="123"/>
      <c r="F10" s="123"/>
      <c r="G10" s="124">
        <v>210</v>
      </c>
      <c r="H10" s="124">
        <f t="shared" si="2"/>
        <v>210</v>
      </c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5">
        <f t="shared" si="0"/>
        <v>210</v>
      </c>
      <c r="X10" s="125">
        <f t="shared" si="3"/>
        <v>210</v>
      </c>
      <c r="Y10" s="125">
        <f t="shared" si="4"/>
        <v>210</v>
      </c>
    </row>
    <row r="11" spans="1:29" x14ac:dyDescent="0.25">
      <c r="A11" s="45">
        <v>10</v>
      </c>
      <c r="B11" s="45" t="s">
        <v>211</v>
      </c>
      <c r="C11" s="45" t="s">
        <v>211</v>
      </c>
      <c r="D11" s="46" t="s">
        <v>368</v>
      </c>
      <c r="E11" s="123"/>
      <c r="F11" s="123"/>
      <c r="G11" s="124">
        <v>260</v>
      </c>
      <c r="H11" s="124">
        <f t="shared" si="2"/>
        <v>260</v>
      </c>
      <c r="I11" s="123"/>
      <c r="J11" s="123"/>
      <c r="K11" s="123"/>
      <c r="L11" s="123"/>
      <c r="M11" s="123"/>
      <c r="N11" s="123"/>
      <c r="O11" s="124"/>
      <c r="P11" s="124"/>
      <c r="Q11" s="124"/>
      <c r="R11" s="124"/>
      <c r="S11" s="124"/>
      <c r="T11" s="124"/>
      <c r="U11" s="123"/>
      <c r="V11" s="123"/>
      <c r="W11" s="125">
        <f t="shared" si="0"/>
        <v>260</v>
      </c>
      <c r="X11" s="125">
        <f t="shared" si="3"/>
        <v>260</v>
      </c>
      <c r="Y11" s="125">
        <f t="shared" si="4"/>
        <v>260</v>
      </c>
    </row>
    <row r="12" spans="1:29" x14ac:dyDescent="0.25">
      <c r="A12" s="45">
        <v>11</v>
      </c>
      <c r="B12" s="45" t="s">
        <v>211</v>
      </c>
      <c r="C12" s="45" t="s">
        <v>211</v>
      </c>
      <c r="D12" s="46" t="s">
        <v>214</v>
      </c>
      <c r="E12" s="123"/>
      <c r="F12" s="123"/>
      <c r="G12" s="124">
        <v>2</v>
      </c>
      <c r="H12" s="124">
        <f t="shared" si="2"/>
        <v>2</v>
      </c>
      <c r="I12" s="123"/>
      <c r="J12" s="123"/>
      <c r="K12" s="123"/>
      <c r="L12" s="123"/>
      <c r="M12" s="123"/>
      <c r="N12" s="123"/>
      <c r="O12" s="124"/>
      <c r="P12" s="124"/>
      <c r="Q12" s="124"/>
      <c r="R12" s="124"/>
      <c r="S12" s="124"/>
      <c r="T12" s="124"/>
      <c r="U12" s="123"/>
      <c r="V12" s="123"/>
      <c r="W12" s="125">
        <f t="shared" si="0"/>
        <v>2</v>
      </c>
      <c r="X12" s="125">
        <f t="shared" si="3"/>
        <v>2</v>
      </c>
      <c r="Y12" s="125">
        <f t="shared" si="4"/>
        <v>2</v>
      </c>
    </row>
    <row r="13" spans="1:29" x14ac:dyDescent="0.25">
      <c r="A13" s="45">
        <v>12</v>
      </c>
      <c r="B13" s="45" t="s">
        <v>211</v>
      </c>
      <c r="C13" s="45" t="s">
        <v>211</v>
      </c>
      <c r="D13" s="46" t="s">
        <v>216</v>
      </c>
      <c r="E13" s="123"/>
      <c r="F13" s="123"/>
      <c r="G13" s="123"/>
      <c r="H13" s="123"/>
      <c r="I13" s="124">
        <v>72180.800000000003</v>
      </c>
      <c r="J13" s="124">
        <f>I13</f>
        <v>72180.800000000003</v>
      </c>
      <c r="K13" s="124"/>
      <c r="L13" s="124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5">
        <f t="shared" si="0"/>
        <v>72180.800000000003</v>
      </c>
      <c r="X13" s="125">
        <f t="shared" si="3"/>
        <v>72180.800000000003</v>
      </c>
      <c r="Y13" s="125">
        <f t="shared" si="4"/>
        <v>72180.800000000003</v>
      </c>
    </row>
    <row r="14" spans="1:29" x14ac:dyDescent="0.25">
      <c r="A14" s="45">
        <v>13</v>
      </c>
      <c r="B14" s="45" t="s">
        <v>211</v>
      </c>
      <c r="C14" s="45" t="s">
        <v>211</v>
      </c>
      <c r="D14" s="46" t="s">
        <v>217</v>
      </c>
      <c r="E14" s="123"/>
      <c r="F14" s="123"/>
      <c r="G14" s="123"/>
      <c r="H14" s="123"/>
      <c r="I14" s="124">
        <v>6754.116</v>
      </c>
      <c r="J14" s="124">
        <f t="shared" ref="J14:J31" si="5">I14</f>
        <v>6754.116</v>
      </c>
      <c r="K14" s="124"/>
      <c r="L14" s="124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5">
        <f t="shared" si="0"/>
        <v>6754.116</v>
      </c>
      <c r="X14" s="125">
        <f t="shared" si="3"/>
        <v>6754.116</v>
      </c>
      <c r="Y14" s="125">
        <f t="shared" si="4"/>
        <v>6754.116</v>
      </c>
    </row>
    <row r="15" spans="1:29" x14ac:dyDescent="0.25">
      <c r="A15" s="45">
        <v>14</v>
      </c>
      <c r="B15" s="45" t="s">
        <v>211</v>
      </c>
      <c r="C15" s="45" t="s">
        <v>211</v>
      </c>
      <c r="D15" s="46" t="s">
        <v>218</v>
      </c>
      <c r="E15" s="123"/>
      <c r="F15" s="123"/>
      <c r="G15" s="123"/>
      <c r="H15" s="123"/>
      <c r="I15" s="124">
        <v>13728</v>
      </c>
      <c r="J15" s="124">
        <f t="shared" si="5"/>
        <v>13728</v>
      </c>
      <c r="K15" s="124"/>
      <c r="L15" s="124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5">
        <f t="shared" si="0"/>
        <v>13728</v>
      </c>
      <c r="X15" s="125">
        <f t="shared" si="3"/>
        <v>13728</v>
      </c>
      <c r="Y15" s="125">
        <f t="shared" si="4"/>
        <v>13728</v>
      </c>
    </row>
    <row r="16" spans="1:29" x14ac:dyDescent="0.25">
      <c r="A16" s="45">
        <v>15</v>
      </c>
      <c r="B16" s="45" t="s">
        <v>211</v>
      </c>
      <c r="C16" s="45" t="s">
        <v>211</v>
      </c>
      <c r="D16" s="46" t="s">
        <v>308</v>
      </c>
      <c r="E16" s="123"/>
      <c r="F16" s="123"/>
      <c r="G16" s="123"/>
      <c r="H16" s="123"/>
      <c r="I16" s="124">
        <v>1076.424</v>
      </c>
      <c r="J16" s="124">
        <f t="shared" si="5"/>
        <v>1076.424</v>
      </c>
      <c r="K16" s="124"/>
      <c r="L16" s="124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5">
        <f t="shared" si="0"/>
        <v>1076.424</v>
      </c>
      <c r="X16" s="125">
        <f t="shared" si="3"/>
        <v>1076.424</v>
      </c>
      <c r="Y16" s="125">
        <f t="shared" si="4"/>
        <v>1076.424</v>
      </c>
    </row>
    <row r="17" spans="1:25" x14ac:dyDescent="0.25">
      <c r="A17" s="45">
        <v>16</v>
      </c>
      <c r="B17" s="45" t="s">
        <v>211</v>
      </c>
      <c r="C17" s="45" t="s">
        <v>211</v>
      </c>
      <c r="D17" s="46" t="s">
        <v>219</v>
      </c>
      <c r="E17" s="123"/>
      <c r="F17" s="123"/>
      <c r="G17" s="123"/>
      <c r="H17" s="123"/>
      <c r="I17" s="124">
        <v>6117.65</v>
      </c>
      <c r="J17" s="124">
        <f t="shared" si="5"/>
        <v>6117.65</v>
      </c>
      <c r="K17" s="124"/>
      <c r="L17" s="124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5">
        <f t="shared" si="0"/>
        <v>6117.65</v>
      </c>
      <c r="X17" s="125">
        <f t="shared" si="3"/>
        <v>6117.65</v>
      </c>
      <c r="Y17" s="125">
        <f t="shared" si="4"/>
        <v>6117.65</v>
      </c>
    </row>
    <row r="18" spans="1:25" x14ac:dyDescent="0.25">
      <c r="A18" s="45">
        <v>17</v>
      </c>
      <c r="B18" s="45" t="s">
        <v>211</v>
      </c>
      <c r="C18" s="45" t="s">
        <v>211</v>
      </c>
      <c r="D18" s="46" t="s">
        <v>496</v>
      </c>
      <c r="E18" s="123"/>
      <c r="F18" s="123"/>
      <c r="G18" s="123"/>
      <c r="H18" s="123"/>
      <c r="I18" s="124">
        <v>0</v>
      </c>
      <c r="J18" s="124">
        <f t="shared" si="5"/>
        <v>0</v>
      </c>
      <c r="K18" s="124"/>
      <c r="L18" s="124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5">
        <f t="shared" si="0"/>
        <v>0</v>
      </c>
      <c r="X18" s="125">
        <f t="shared" si="3"/>
        <v>0</v>
      </c>
      <c r="Y18" s="125">
        <f t="shared" si="4"/>
        <v>0</v>
      </c>
    </row>
    <row r="19" spans="1:25" x14ac:dyDescent="0.25">
      <c r="A19" s="45">
        <v>18</v>
      </c>
      <c r="B19" s="45" t="s">
        <v>211</v>
      </c>
      <c r="C19" s="45" t="s">
        <v>211</v>
      </c>
      <c r="D19" s="46" t="s">
        <v>320</v>
      </c>
      <c r="E19" s="123"/>
      <c r="F19" s="123"/>
      <c r="G19" s="123"/>
      <c r="H19" s="123"/>
      <c r="I19" s="124">
        <v>0</v>
      </c>
      <c r="J19" s="124">
        <f t="shared" si="5"/>
        <v>0</v>
      </c>
      <c r="K19" s="124"/>
      <c r="L19" s="124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5">
        <f t="shared" si="0"/>
        <v>0</v>
      </c>
      <c r="X19" s="125">
        <f t="shared" si="3"/>
        <v>0</v>
      </c>
      <c r="Y19" s="125">
        <f t="shared" si="4"/>
        <v>0</v>
      </c>
    </row>
    <row r="20" spans="1:25" x14ac:dyDescent="0.25">
      <c r="A20" s="45">
        <v>19</v>
      </c>
      <c r="B20" s="45" t="s">
        <v>211</v>
      </c>
      <c r="C20" s="45" t="s">
        <v>211</v>
      </c>
      <c r="D20" s="46" t="s">
        <v>221</v>
      </c>
      <c r="E20" s="123"/>
      <c r="F20" s="123"/>
      <c r="G20" s="123"/>
      <c r="H20" s="123"/>
      <c r="I20" s="124">
        <v>5.2</v>
      </c>
      <c r="J20" s="124">
        <f t="shared" si="5"/>
        <v>5.2</v>
      </c>
      <c r="K20" s="124"/>
      <c r="L20" s="124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5">
        <f t="shared" si="0"/>
        <v>5.2</v>
      </c>
      <c r="X20" s="125">
        <f t="shared" si="3"/>
        <v>5.2</v>
      </c>
      <c r="Y20" s="125">
        <f t="shared" si="4"/>
        <v>5.2</v>
      </c>
    </row>
    <row r="21" spans="1:25" x14ac:dyDescent="0.25">
      <c r="A21" s="45">
        <v>20</v>
      </c>
      <c r="B21" s="45" t="s">
        <v>211</v>
      </c>
      <c r="C21" s="45" t="s">
        <v>211</v>
      </c>
      <c r="D21" s="46" t="s">
        <v>220</v>
      </c>
      <c r="E21" s="123"/>
      <c r="F21" s="123"/>
      <c r="G21" s="123"/>
      <c r="H21" s="123"/>
      <c r="I21" s="124">
        <v>8.1</v>
      </c>
      <c r="J21" s="124">
        <f t="shared" si="5"/>
        <v>8.1</v>
      </c>
      <c r="K21" s="124"/>
      <c r="L21" s="124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5">
        <f t="shared" si="0"/>
        <v>8.1</v>
      </c>
      <c r="X21" s="125">
        <f t="shared" si="3"/>
        <v>8.1</v>
      </c>
      <c r="Y21" s="125">
        <f t="shared" si="4"/>
        <v>8.1</v>
      </c>
    </row>
    <row r="22" spans="1:25" x14ac:dyDescent="0.25">
      <c r="A22" s="45">
        <v>21</v>
      </c>
      <c r="B22" s="45" t="s">
        <v>211</v>
      </c>
      <c r="C22" s="45" t="s">
        <v>211</v>
      </c>
      <c r="D22" s="46" t="s">
        <v>369</v>
      </c>
      <c r="E22" s="123"/>
      <c r="F22" s="123"/>
      <c r="G22" s="123"/>
      <c r="H22" s="123"/>
      <c r="I22" s="124">
        <v>972.4</v>
      </c>
      <c r="J22" s="124">
        <f t="shared" si="5"/>
        <v>972.4</v>
      </c>
      <c r="K22" s="124"/>
      <c r="L22" s="124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5">
        <f t="shared" si="0"/>
        <v>972.4</v>
      </c>
      <c r="X22" s="125">
        <f t="shared" si="3"/>
        <v>972.4</v>
      </c>
      <c r="Y22" s="125">
        <f t="shared" si="4"/>
        <v>972.4</v>
      </c>
    </row>
    <row r="23" spans="1:25" x14ac:dyDescent="0.25">
      <c r="A23" s="45">
        <v>22</v>
      </c>
      <c r="B23" s="45" t="s">
        <v>211</v>
      </c>
      <c r="C23" s="45" t="s">
        <v>211</v>
      </c>
      <c r="D23" s="46" t="s">
        <v>321</v>
      </c>
      <c r="E23" s="123"/>
      <c r="F23" s="123"/>
      <c r="G23" s="123"/>
      <c r="H23" s="123"/>
      <c r="I23" s="124">
        <v>64434.3</v>
      </c>
      <c r="J23" s="124">
        <f t="shared" si="5"/>
        <v>64434.3</v>
      </c>
      <c r="K23" s="124"/>
      <c r="L23" s="124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5">
        <f t="shared" si="0"/>
        <v>64434.3</v>
      </c>
      <c r="X23" s="125">
        <f t="shared" si="3"/>
        <v>64434.3</v>
      </c>
      <c r="Y23" s="125">
        <f t="shared" si="4"/>
        <v>64434.3</v>
      </c>
    </row>
    <row r="24" spans="1:25" x14ac:dyDescent="0.25">
      <c r="A24" s="45">
        <v>23</v>
      </c>
      <c r="B24" s="45" t="s">
        <v>211</v>
      </c>
      <c r="C24" s="45" t="s">
        <v>211</v>
      </c>
      <c r="D24" s="46" t="s">
        <v>222</v>
      </c>
      <c r="E24" s="123"/>
      <c r="F24" s="123"/>
      <c r="G24" s="123"/>
      <c r="H24" s="123"/>
      <c r="I24" s="124">
        <v>10811.4</v>
      </c>
      <c r="J24" s="124">
        <f t="shared" si="5"/>
        <v>10811.4</v>
      </c>
      <c r="K24" s="124"/>
      <c r="L24" s="124"/>
      <c r="M24" s="123"/>
      <c r="N24" s="123"/>
      <c r="O24" s="126"/>
      <c r="P24" s="126"/>
      <c r="Q24" s="123"/>
      <c r="R24" s="123"/>
      <c r="S24" s="123"/>
      <c r="T24" s="123"/>
      <c r="U24" s="123"/>
      <c r="V24" s="123"/>
      <c r="W24" s="125">
        <f t="shared" si="0"/>
        <v>10811.4</v>
      </c>
      <c r="X24" s="125">
        <f t="shared" si="3"/>
        <v>10811.4</v>
      </c>
      <c r="Y24" s="125">
        <f t="shared" si="4"/>
        <v>10811.4</v>
      </c>
    </row>
    <row r="25" spans="1:25" x14ac:dyDescent="0.25">
      <c r="A25" s="45">
        <v>24</v>
      </c>
      <c r="B25" s="45" t="s">
        <v>211</v>
      </c>
      <c r="C25" s="45" t="s">
        <v>211</v>
      </c>
      <c r="D25" s="46" t="s">
        <v>297</v>
      </c>
      <c r="E25" s="123"/>
      <c r="F25" s="123"/>
      <c r="G25" s="123"/>
      <c r="H25" s="123"/>
      <c r="I25" s="124">
        <v>1190.0999999999999</v>
      </c>
      <c r="J25" s="124">
        <f t="shared" si="5"/>
        <v>1190.0999999999999</v>
      </c>
      <c r="K25" s="124"/>
      <c r="L25" s="124"/>
      <c r="M25" s="123"/>
      <c r="N25" s="123"/>
      <c r="O25" s="126"/>
      <c r="P25" s="126"/>
      <c r="Q25" s="123"/>
      <c r="R25" s="123"/>
      <c r="S25" s="123"/>
      <c r="T25" s="123"/>
      <c r="U25" s="123"/>
      <c r="V25" s="123"/>
      <c r="W25" s="125">
        <f t="shared" si="0"/>
        <v>1190.0999999999999</v>
      </c>
      <c r="X25" s="125">
        <f t="shared" si="3"/>
        <v>1190.0999999999999</v>
      </c>
      <c r="Y25" s="125">
        <f t="shared" si="4"/>
        <v>1190.0999999999999</v>
      </c>
    </row>
    <row r="26" spans="1:25" x14ac:dyDescent="0.25">
      <c r="A26" s="45">
        <v>25</v>
      </c>
      <c r="B26" s="45" t="s">
        <v>211</v>
      </c>
      <c r="C26" s="45" t="s">
        <v>211</v>
      </c>
      <c r="D26" s="109" t="s">
        <v>223</v>
      </c>
      <c r="E26" s="123"/>
      <c r="F26" s="123"/>
      <c r="G26" s="123"/>
      <c r="H26" s="123"/>
      <c r="I26" s="127">
        <v>22332.134999999998</v>
      </c>
      <c r="J26" s="124">
        <f t="shared" si="5"/>
        <v>22332.134999999998</v>
      </c>
      <c r="K26" s="127"/>
      <c r="L26" s="127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5">
        <f t="shared" si="0"/>
        <v>22332.134999999998</v>
      </c>
      <c r="X26" s="125">
        <f t="shared" si="3"/>
        <v>22332.134999999998</v>
      </c>
      <c r="Y26" s="125">
        <f t="shared" si="4"/>
        <v>22332.134999999998</v>
      </c>
    </row>
    <row r="27" spans="1:25" x14ac:dyDescent="0.25">
      <c r="A27" s="45">
        <v>26</v>
      </c>
      <c r="B27" s="45" t="s">
        <v>211</v>
      </c>
      <c r="C27" s="45" t="s">
        <v>211</v>
      </c>
      <c r="D27" s="46" t="s">
        <v>225</v>
      </c>
      <c r="E27" s="123"/>
      <c r="F27" s="123"/>
      <c r="G27" s="123"/>
      <c r="H27" s="123"/>
      <c r="I27" s="124">
        <v>12989.76</v>
      </c>
      <c r="J27" s="124">
        <f t="shared" si="5"/>
        <v>12989.76</v>
      </c>
      <c r="K27" s="124"/>
      <c r="L27" s="124"/>
      <c r="M27" s="123"/>
      <c r="N27" s="123"/>
      <c r="O27" s="126"/>
      <c r="P27" s="126"/>
      <c r="Q27" s="123"/>
      <c r="R27" s="123"/>
      <c r="S27" s="123"/>
      <c r="T27" s="123"/>
      <c r="U27" s="123"/>
      <c r="V27" s="123"/>
      <c r="W27" s="125">
        <f t="shared" si="0"/>
        <v>12989.76</v>
      </c>
      <c r="X27" s="125">
        <f t="shared" si="3"/>
        <v>12989.76</v>
      </c>
      <c r="Y27" s="125">
        <f t="shared" si="4"/>
        <v>12989.76</v>
      </c>
    </row>
    <row r="28" spans="1:25" x14ac:dyDescent="0.25">
      <c r="A28" s="45">
        <v>27</v>
      </c>
      <c r="B28" s="45" t="s">
        <v>215</v>
      </c>
      <c r="C28" s="45" t="s">
        <v>215</v>
      </c>
      <c r="D28" s="46" t="s">
        <v>510</v>
      </c>
      <c r="E28" s="123"/>
      <c r="F28" s="123"/>
      <c r="G28" s="123"/>
      <c r="H28" s="123"/>
      <c r="I28" s="124">
        <v>35965</v>
      </c>
      <c r="J28" s="124">
        <f t="shared" si="5"/>
        <v>35965</v>
      </c>
      <c r="K28" s="124"/>
      <c r="L28" s="124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5">
        <f t="shared" si="0"/>
        <v>35965</v>
      </c>
      <c r="X28" s="125">
        <f t="shared" si="3"/>
        <v>35965</v>
      </c>
      <c r="Y28" s="125">
        <f t="shared" si="4"/>
        <v>35965</v>
      </c>
    </row>
    <row r="29" spans="1:25" x14ac:dyDescent="0.25">
      <c r="A29" s="45">
        <v>28</v>
      </c>
      <c r="B29" s="45" t="s">
        <v>211</v>
      </c>
      <c r="C29" s="45" t="s">
        <v>211</v>
      </c>
      <c r="D29" s="46" t="s">
        <v>224</v>
      </c>
      <c r="E29" s="123"/>
      <c r="F29" s="123"/>
      <c r="G29" s="123"/>
      <c r="H29" s="123"/>
      <c r="I29" s="124">
        <v>35780.824999999997</v>
      </c>
      <c r="J29" s="124">
        <f t="shared" si="5"/>
        <v>35780.824999999997</v>
      </c>
      <c r="K29" s="124"/>
      <c r="L29" s="124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5">
        <f t="shared" si="0"/>
        <v>35780.824999999997</v>
      </c>
      <c r="X29" s="125">
        <f t="shared" si="3"/>
        <v>35780.824999999997</v>
      </c>
      <c r="Y29" s="125">
        <f t="shared" si="4"/>
        <v>35780.824999999997</v>
      </c>
    </row>
    <row r="30" spans="1:25" x14ac:dyDescent="0.25">
      <c r="A30" s="45">
        <v>29</v>
      </c>
      <c r="B30" s="45" t="s">
        <v>211</v>
      </c>
      <c r="C30" s="45" t="s">
        <v>211</v>
      </c>
      <c r="D30" s="46" t="s">
        <v>370</v>
      </c>
      <c r="E30" s="123"/>
      <c r="F30" s="123"/>
      <c r="G30" s="123"/>
      <c r="H30" s="123"/>
      <c r="I30" s="124">
        <v>357.96</v>
      </c>
      <c r="J30" s="124">
        <f t="shared" si="5"/>
        <v>357.96</v>
      </c>
      <c r="K30" s="124"/>
      <c r="L30" s="124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5">
        <f t="shared" si="0"/>
        <v>357.96</v>
      </c>
      <c r="X30" s="125">
        <f t="shared" si="3"/>
        <v>357.96</v>
      </c>
      <c r="Y30" s="125">
        <f t="shared" si="4"/>
        <v>357.96</v>
      </c>
    </row>
    <row r="31" spans="1:25" x14ac:dyDescent="0.25">
      <c r="A31" s="45">
        <v>30</v>
      </c>
      <c r="B31" s="45" t="s">
        <v>211</v>
      </c>
      <c r="C31" s="45" t="s">
        <v>211</v>
      </c>
      <c r="D31" s="46" t="s">
        <v>226</v>
      </c>
      <c r="E31" s="123"/>
      <c r="F31" s="123"/>
      <c r="G31" s="123"/>
      <c r="H31" s="123"/>
      <c r="I31" s="124">
        <v>4343.8999999999996</v>
      </c>
      <c r="J31" s="124">
        <f t="shared" si="5"/>
        <v>4343.8999999999996</v>
      </c>
      <c r="K31" s="123"/>
      <c r="L31" s="123"/>
      <c r="M31" s="124"/>
      <c r="N31" s="124"/>
      <c r="O31" s="123"/>
      <c r="P31" s="123"/>
      <c r="Q31" s="123"/>
      <c r="R31" s="123"/>
      <c r="S31" s="123"/>
      <c r="T31" s="123"/>
      <c r="U31" s="123"/>
      <c r="V31" s="123"/>
      <c r="W31" s="125">
        <f t="shared" si="0"/>
        <v>4343.8999999999996</v>
      </c>
      <c r="X31" s="125">
        <f t="shared" si="3"/>
        <v>4343.8999999999996</v>
      </c>
      <c r="Y31" s="125">
        <f t="shared" si="4"/>
        <v>4343.8999999999996</v>
      </c>
    </row>
    <row r="32" spans="1:25" x14ac:dyDescent="0.25">
      <c r="A32" s="45">
        <v>31</v>
      </c>
      <c r="B32" s="45" t="s">
        <v>211</v>
      </c>
      <c r="C32" s="45" t="s">
        <v>211</v>
      </c>
      <c r="D32" s="46" t="s">
        <v>227</v>
      </c>
      <c r="E32" s="123"/>
      <c r="F32" s="123"/>
      <c r="G32" s="123"/>
      <c r="H32" s="123"/>
      <c r="I32" s="123"/>
      <c r="J32" s="123"/>
      <c r="K32" s="123"/>
      <c r="L32" s="123"/>
      <c r="M32" s="124">
        <v>73624.528000000006</v>
      </c>
      <c r="N32" s="124">
        <f>M32</f>
        <v>73624.528000000006</v>
      </c>
      <c r="O32" s="123">
        <v>2000</v>
      </c>
      <c r="P32" s="123">
        <f>O32</f>
        <v>2000</v>
      </c>
      <c r="Q32" s="123"/>
      <c r="R32" s="123"/>
      <c r="S32" s="123">
        <v>13748.473</v>
      </c>
      <c r="T32" s="123">
        <f>S32</f>
        <v>13748.473</v>
      </c>
      <c r="U32" s="123"/>
      <c r="V32" s="123"/>
      <c r="W32" s="125">
        <f>E32+G32+I32+M32+O32+Q32+U32+K32+S32</f>
        <v>89373.001000000004</v>
      </c>
      <c r="X32" s="125">
        <f t="shared" si="3"/>
        <v>75624.528000000006</v>
      </c>
      <c r="Y32" s="125">
        <f t="shared" si="4"/>
        <v>89373.001000000004</v>
      </c>
    </row>
    <row r="33" spans="1:25" x14ac:dyDescent="0.25">
      <c r="A33" s="45">
        <v>32</v>
      </c>
      <c r="B33" s="45" t="s">
        <v>211</v>
      </c>
      <c r="C33" s="45" t="s">
        <v>211</v>
      </c>
      <c r="D33" s="46" t="s">
        <v>228</v>
      </c>
      <c r="E33" s="123"/>
      <c r="F33" s="123"/>
      <c r="G33" s="123"/>
      <c r="H33" s="123"/>
      <c r="I33" s="123"/>
      <c r="J33" s="123"/>
      <c r="K33" s="123"/>
      <c r="L33" s="123"/>
      <c r="M33" s="124">
        <v>4964.87</v>
      </c>
      <c r="N33" s="124">
        <f>M33+15606.624</f>
        <v>20571.493999999999</v>
      </c>
      <c r="O33" s="123"/>
      <c r="P33" s="123"/>
      <c r="Q33" s="123"/>
      <c r="R33" s="123"/>
      <c r="S33" s="123">
        <v>3923</v>
      </c>
      <c r="T33" s="123">
        <f>S33</f>
        <v>3923</v>
      </c>
      <c r="U33" s="123"/>
      <c r="V33" s="123"/>
      <c r="W33" s="125">
        <f t="shared" ref="W33:W51" si="6">E33+G33+I33+M33+O33+Q33+U33+K33+S33</f>
        <v>8887.869999999999</v>
      </c>
      <c r="X33" s="125">
        <f t="shared" si="3"/>
        <v>20571.493999999999</v>
      </c>
      <c r="Y33" s="125">
        <f t="shared" si="4"/>
        <v>24494.493999999999</v>
      </c>
    </row>
    <row r="34" spans="1:25" x14ac:dyDescent="0.25">
      <c r="A34" s="45">
        <v>33</v>
      </c>
      <c r="B34" s="45" t="s">
        <v>211</v>
      </c>
      <c r="C34" s="45" t="s">
        <v>211</v>
      </c>
      <c r="D34" s="46" t="s">
        <v>229</v>
      </c>
      <c r="E34" s="123"/>
      <c r="F34" s="123"/>
      <c r="G34" s="123"/>
      <c r="H34" s="123"/>
      <c r="I34" s="123"/>
      <c r="J34" s="123"/>
      <c r="K34" s="123"/>
      <c r="L34" s="123"/>
      <c r="M34" s="124">
        <v>8645</v>
      </c>
      <c r="N34" s="124">
        <f>M34</f>
        <v>8645</v>
      </c>
      <c r="O34" s="123"/>
      <c r="P34" s="123"/>
      <c r="Q34" s="123"/>
      <c r="R34" s="123"/>
      <c r="S34" s="123"/>
      <c r="T34" s="123"/>
      <c r="U34" s="123"/>
      <c r="V34" s="123"/>
      <c r="W34" s="125">
        <f t="shared" si="6"/>
        <v>8645</v>
      </c>
      <c r="X34" s="125">
        <f t="shared" si="3"/>
        <v>8645</v>
      </c>
      <c r="Y34" s="125">
        <f t="shared" si="4"/>
        <v>8645</v>
      </c>
    </row>
    <row r="35" spans="1:25" x14ac:dyDescent="0.25">
      <c r="A35" s="45">
        <v>34</v>
      </c>
      <c r="B35" s="45" t="s">
        <v>211</v>
      </c>
      <c r="C35" s="45" t="s">
        <v>211</v>
      </c>
      <c r="D35" s="46" t="s">
        <v>230</v>
      </c>
      <c r="E35" s="123"/>
      <c r="F35" s="123"/>
      <c r="G35" s="123"/>
      <c r="H35" s="123"/>
      <c r="I35" s="123"/>
      <c r="J35" s="123"/>
      <c r="K35" s="123"/>
      <c r="L35" s="123"/>
      <c r="M35" s="124">
        <v>1400</v>
      </c>
      <c r="N35" s="124">
        <f t="shared" ref="N35:N36" si="7">M35</f>
        <v>1400</v>
      </c>
      <c r="O35" s="123"/>
      <c r="P35" s="123"/>
      <c r="Q35" s="123"/>
      <c r="R35" s="123"/>
      <c r="S35" s="123"/>
      <c r="T35" s="123"/>
      <c r="U35" s="123"/>
      <c r="V35" s="123"/>
      <c r="W35" s="125">
        <f t="shared" si="6"/>
        <v>1400</v>
      </c>
      <c r="X35" s="125">
        <f t="shared" si="3"/>
        <v>1400</v>
      </c>
      <c r="Y35" s="125">
        <f t="shared" si="4"/>
        <v>1400</v>
      </c>
    </row>
    <row r="36" spans="1:25" x14ac:dyDescent="0.25">
      <c r="A36" s="45">
        <v>35</v>
      </c>
      <c r="B36" s="45" t="s">
        <v>211</v>
      </c>
      <c r="C36" s="45" t="s">
        <v>211</v>
      </c>
      <c r="D36" s="46" t="s">
        <v>231</v>
      </c>
      <c r="E36" s="123">
        <v>19800</v>
      </c>
      <c r="F36" s="123">
        <f>E36</f>
        <v>19800</v>
      </c>
      <c r="G36" s="123"/>
      <c r="H36" s="123"/>
      <c r="I36" s="123"/>
      <c r="J36" s="123"/>
      <c r="K36" s="123"/>
      <c r="L36" s="123"/>
      <c r="M36" s="123">
        <v>412.3</v>
      </c>
      <c r="N36" s="124">
        <f t="shared" si="7"/>
        <v>412.3</v>
      </c>
      <c r="O36" s="123"/>
      <c r="P36" s="123"/>
      <c r="Q36" s="123"/>
      <c r="R36" s="123"/>
      <c r="S36" s="123"/>
      <c r="T36" s="123"/>
      <c r="U36" s="123"/>
      <c r="V36" s="123"/>
      <c r="W36" s="125">
        <f t="shared" si="6"/>
        <v>20212.3</v>
      </c>
      <c r="X36" s="125">
        <f t="shared" si="3"/>
        <v>20212.3</v>
      </c>
      <c r="Y36" s="125">
        <f t="shared" si="4"/>
        <v>20212.3</v>
      </c>
    </row>
    <row r="37" spans="1:25" x14ac:dyDescent="0.25">
      <c r="A37" s="45">
        <v>36</v>
      </c>
      <c r="B37" s="45" t="s">
        <v>215</v>
      </c>
      <c r="C37" s="45" t="s">
        <v>215</v>
      </c>
      <c r="D37" s="46" t="s">
        <v>232</v>
      </c>
      <c r="E37" s="127">
        <v>3050</v>
      </c>
      <c r="F37" s="123">
        <f t="shared" ref="F37:F38" si="8">E37</f>
        <v>3050</v>
      </c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5">
        <f t="shared" si="6"/>
        <v>3050</v>
      </c>
      <c r="X37" s="125">
        <f t="shared" si="3"/>
        <v>3050</v>
      </c>
      <c r="Y37" s="125">
        <f t="shared" si="4"/>
        <v>3050</v>
      </c>
    </row>
    <row r="38" spans="1:25" x14ac:dyDescent="0.25">
      <c r="A38" s="45">
        <v>37</v>
      </c>
      <c r="B38" s="45" t="s">
        <v>215</v>
      </c>
      <c r="C38" s="45" t="s">
        <v>215</v>
      </c>
      <c r="D38" s="46" t="s">
        <v>497</v>
      </c>
      <c r="E38" s="124">
        <v>100</v>
      </c>
      <c r="F38" s="123">
        <f t="shared" si="8"/>
        <v>100</v>
      </c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5">
        <f t="shared" si="6"/>
        <v>100</v>
      </c>
      <c r="X38" s="125">
        <f t="shared" si="3"/>
        <v>100</v>
      </c>
      <c r="Y38" s="125">
        <f t="shared" si="4"/>
        <v>100</v>
      </c>
    </row>
    <row r="39" spans="1:25" x14ac:dyDescent="0.25">
      <c r="A39" s="45">
        <v>38</v>
      </c>
      <c r="B39" s="45" t="s">
        <v>211</v>
      </c>
      <c r="C39" s="45" t="s">
        <v>211</v>
      </c>
      <c r="D39" s="46" t="s">
        <v>327</v>
      </c>
      <c r="E39" s="124"/>
      <c r="F39" s="124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5">
        <f t="shared" si="6"/>
        <v>0</v>
      </c>
      <c r="X39" s="125">
        <f t="shared" si="3"/>
        <v>0</v>
      </c>
      <c r="Y39" s="125">
        <f t="shared" si="4"/>
        <v>0</v>
      </c>
    </row>
    <row r="40" spans="1:25" x14ac:dyDescent="0.25">
      <c r="A40" s="45">
        <v>39</v>
      </c>
      <c r="B40" s="45" t="s">
        <v>215</v>
      </c>
      <c r="C40" s="45" t="s">
        <v>215</v>
      </c>
      <c r="D40" s="46" t="s">
        <v>327</v>
      </c>
      <c r="E40" s="124"/>
      <c r="F40" s="124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>
        <v>65100.671000000002</v>
      </c>
      <c r="T40" s="123">
        <f>S40+22000.342</f>
        <v>87101.013000000006</v>
      </c>
      <c r="U40" s="123"/>
      <c r="V40" s="123"/>
      <c r="W40" s="125">
        <f t="shared" si="6"/>
        <v>65100.671000000002</v>
      </c>
      <c r="X40" s="125">
        <f t="shared" si="3"/>
        <v>0</v>
      </c>
      <c r="Y40" s="125">
        <f t="shared" si="4"/>
        <v>87101.013000000006</v>
      </c>
    </row>
    <row r="41" spans="1:25" x14ac:dyDescent="0.25">
      <c r="A41" s="45">
        <v>40</v>
      </c>
      <c r="B41" s="64" t="s">
        <v>215</v>
      </c>
      <c r="C41" s="64" t="s">
        <v>215</v>
      </c>
      <c r="D41" s="65" t="s">
        <v>371</v>
      </c>
      <c r="E41" s="124"/>
      <c r="F41" s="124"/>
      <c r="G41" s="123"/>
      <c r="H41" s="123"/>
      <c r="I41" s="123"/>
      <c r="J41" s="123"/>
      <c r="K41" s="123"/>
      <c r="L41" s="123"/>
      <c r="M41" s="123">
        <v>929.65</v>
      </c>
      <c r="N41" s="123">
        <f>M41</f>
        <v>929.65</v>
      </c>
      <c r="O41" s="123">
        <v>47276.877999999997</v>
      </c>
      <c r="P41" s="123">
        <f>O41</f>
        <v>47276.877999999997</v>
      </c>
      <c r="Q41" s="123"/>
      <c r="R41" s="123"/>
      <c r="S41" s="123">
        <v>48126.533000000003</v>
      </c>
      <c r="T41" s="123">
        <f>S41</f>
        <v>48126.533000000003</v>
      </c>
      <c r="U41" s="123"/>
      <c r="V41" s="123"/>
      <c r="W41" s="125">
        <f t="shared" si="6"/>
        <v>96333.061000000002</v>
      </c>
      <c r="X41" s="125">
        <f t="shared" si="3"/>
        <v>48206.527999999998</v>
      </c>
      <c r="Y41" s="125">
        <f t="shared" si="4"/>
        <v>96333.061000000002</v>
      </c>
    </row>
    <row r="42" spans="1:25" x14ac:dyDescent="0.25">
      <c r="A42" s="45">
        <v>41</v>
      </c>
      <c r="B42" s="64" t="s">
        <v>215</v>
      </c>
      <c r="C42" s="64" t="s">
        <v>215</v>
      </c>
      <c r="D42" s="65" t="s">
        <v>372</v>
      </c>
      <c r="E42" s="124"/>
      <c r="F42" s="124"/>
      <c r="G42" s="123"/>
      <c r="H42" s="123"/>
      <c r="I42" s="123"/>
      <c r="J42" s="123"/>
      <c r="K42" s="123"/>
      <c r="L42" s="123"/>
      <c r="M42" s="123">
        <v>427.5</v>
      </c>
      <c r="N42" s="123">
        <f t="shared" ref="N42:N44" si="9">M42</f>
        <v>427.5</v>
      </c>
      <c r="O42" s="123">
        <v>37508.654000000002</v>
      </c>
      <c r="P42" s="123">
        <f>O42</f>
        <v>37508.654000000002</v>
      </c>
      <c r="Q42" s="123"/>
      <c r="R42" s="123"/>
      <c r="S42" s="123">
        <v>2260.846</v>
      </c>
      <c r="T42" s="123">
        <f t="shared" ref="T42:T51" si="10">S42</f>
        <v>2260.846</v>
      </c>
      <c r="U42" s="123"/>
      <c r="V42" s="123"/>
      <c r="W42" s="125">
        <f t="shared" si="6"/>
        <v>40197</v>
      </c>
      <c r="X42" s="125">
        <f t="shared" si="3"/>
        <v>37936.154000000002</v>
      </c>
      <c r="Y42" s="125">
        <f t="shared" si="4"/>
        <v>40197</v>
      </c>
    </row>
    <row r="43" spans="1:25" x14ac:dyDescent="0.25">
      <c r="A43" s="45">
        <v>42</v>
      </c>
      <c r="B43" s="64" t="s">
        <v>215</v>
      </c>
      <c r="C43" s="64" t="s">
        <v>215</v>
      </c>
      <c r="D43" s="65" t="s">
        <v>498</v>
      </c>
      <c r="E43" s="124"/>
      <c r="F43" s="124"/>
      <c r="G43" s="123"/>
      <c r="H43" s="123"/>
      <c r="I43" s="123"/>
      <c r="J43" s="123"/>
      <c r="K43" s="123"/>
      <c r="L43" s="123"/>
      <c r="M43" s="123">
        <v>7261.8</v>
      </c>
      <c r="N43" s="123">
        <f t="shared" si="9"/>
        <v>7261.8</v>
      </c>
      <c r="O43" s="123"/>
      <c r="P43" s="123"/>
      <c r="Q43" s="123"/>
      <c r="R43" s="123"/>
      <c r="S43" s="123">
        <v>7906.201</v>
      </c>
      <c r="T43" s="123">
        <f t="shared" si="10"/>
        <v>7906.201</v>
      </c>
      <c r="U43" s="123"/>
      <c r="V43" s="123"/>
      <c r="W43" s="125">
        <f t="shared" si="6"/>
        <v>15168.001</v>
      </c>
      <c r="X43" s="125">
        <f t="shared" si="3"/>
        <v>7261.8</v>
      </c>
      <c r="Y43" s="125">
        <f t="shared" si="4"/>
        <v>15168.001</v>
      </c>
    </row>
    <row r="44" spans="1:25" x14ac:dyDescent="0.25">
      <c r="A44" s="45">
        <v>43</v>
      </c>
      <c r="B44" s="64" t="s">
        <v>215</v>
      </c>
      <c r="C44" s="64" t="s">
        <v>215</v>
      </c>
      <c r="D44" s="65" t="s">
        <v>499</v>
      </c>
      <c r="E44" s="124"/>
      <c r="F44" s="124"/>
      <c r="G44" s="123"/>
      <c r="H44" s="123"/>
      <c r="I44" s="123"/>
      <c r="J44" s="123"/>
      <c r="K44" s="123"/>
      <c r="L44" s="123"/>
      <c r="M44" s="123">
        <v>6736.3</v>
      </c>
      <c r="N44" s="123">
        <f t="shared" si="9"/>
        <v>6736.3</v>
      </c>
      <c r="O44" s="123"/>
      <c r="P44" s="123"/>
      <c r="Q44" s="123"/>
      <c r="R44" s="123"/>
      <c r="S44" s="123">
        <v>7301.1790000000001</v>
      </c>
      <c r="T44" s="123">
        <f t="shared" si="10"/>
        <v>7301.1790000000001</v>
      </c>
      <c r="U44" s="123"/>
      <c r="V44" s="123"/>
      <c r="W44" s="125">
        <f t="shared" si="6"/>
        <v>14037.478999999999</v>
      </c>
      <c r="X44" s="125">
        <f t="shared" si="3"/>
        <v>6736.3</v>
      </c>
      <c r="Y44" s="125">
        <f t="shared" si="4"/>
        <v>14037.478999999999</v>
      </c>
    </row>
    <row r="45" spans="1:25" x14ac:dyDescent="0.25">
      <c r="A45" s="45">
        <v>44</v>
      </c>
      <c r="B45" s="64" t="s">
        <v>215</v>
      </c>
      <c r="C45" s="64" t="s">
        <v>215</v>
      </c>
      <c r="D45" s="65" t="s">
        <v>500</v>
      </c>
      <c r="E45" s="124"/>
      <c r="F45" s="124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>
        <v>3496.509</v>
      </c>
      <c r="T45" s="123">
        <f t="shared" si="10"/>
        <v>3496.509</v>
      </c>
      <c r="U45" s="123"/>
      <c r="V45" s="123"/>
      <c r="W45" s="125">
        <f t="shared" si="6"/>
        <v>3496.509</v>
      </c>
      <c r="X45" s="125">
        <f t="shared" si="3"/>
        <v>0</v>
      </c>
      <c r="Y45" s="125">
        <f t="shared" si="4"/>
        <v>3496.509</v>
      </c>
    </row>
    <row r="46" spans="1:25" x14ac:dyDescent="0.25">
      <c r="A46" s="45">
        <v>45</v>
      </c>
      <c r="B46" s="45" t="s">
        <v>215</v>
      </c>
      <c r="C46" s="45" t="s">
        <v>215</v>
      </c>
      <c r="D46" s="65" t="s">
        <v>332</v>
      </c>
      <c r="E46" s="124"/>
      <c r="F46" s="124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>
        <v>25322.852999999999</v>
      </c>
      <c r="T46" s="123">
        <f t="shared" si="10"/>
        <v>25322.852999999999</v>
      </c>
      <c r="U46" s="123"/>
      <c r="V46" s="123"/>
      <c r="W46" s="125">
        <f t="shared" si="6"/>
        <v>25322.852999999999</v>
      </c>
      <c r="X46" s="125">
        <f t="shared" si="3"/>
        <v>0</v>
      </c>
      <c r="Y46" s="125">
        <f t="shared" si="4"/>
        <v>25322.852999999999</v>
      </c>
    </row>
    <row r="47" spans="1:25" x14ac:dyDescent="0.25">
      <c r="A47" s="45">
        <v>46</v>
      </c>
      <c r="B47" s="45" t="s">
        <v>215</v>
      </c>
      <c r="C47" s="45" t="s">
        <v>215</v>
      </c>
      <c r="D47" s="65" t="s">
        <v>333</v>
      </c>
      <c r="E47" s="124"/>
      <c r="F47" s="124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>
        <v>203703.33100000001</v>
      </c>
      <c r="T47" s="123">
        <f t="shared" si="10"/>
        <v>203703.33100000001</v>
      </c>
      <c r="U47" s="123"/>
      <c r="V47" s="123"/>
      <c r="W47" s="125">
        <f t="shared" si="6"/>
        <v>203703.33100000001</v>
      </c>
      <c r="X47" s="125">
        <f t="shared" si="3"/>
        <v>0</v>
      </c>
      <c r="Y47" s="125">
        <f t="shared" si="4"/>
        <v>203703.33100000001</v>
      </c>
    </row>
    <row r="48" spans="1:25" x14ac:dyDescent="0.25">
      <c r="A48" s="45">
        <v>47</v>
      </c>
      <c r="B48" s="45" t="s">
        <v>215</v>
      </c>
      <c r="C48" s="45" t="s">
        <v>215</v>
      </c>
      <c r="D48" s="65" t="s">
        <v>334</v>
      </c>
      <c r="E48" s="124"/>
      <c r="F48" s="124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>
        <v>35359.459000000003</v>
      </c>
      <c r="T48" s="123">
        <f t="shared" si="10"/>
        <v>35359.459000000003</v>
      </c>
      <c r="U48" s="123"/>
      <c r="V48" s="123"/>
      <c r="W48" s="125">
        <f t="shared" si="6"/>
        <v>35359.459000000003</v>
      </c>
      <c r="X48" s="125"/>
      <c r="Y48" s="125">
        <f t="shared" si="4"/>
        <v>35359.459000000003</v>
      </c>
    </row>
    <row r="49" spans="1:25" x14ac:dyDescent="0.25">
      <c r="A49" s="45">
        <v>48</v>
      </c>
      <c r="B49" s="64" t="s">
        <v>215</v>
      </c>
      <c r="C49" s="64" t="s">
        <v>215</v>
      </c>
      <c r="D49" s="65" t="s">
        <v>501</v>
      </c>
      <c r="E49" s="124"/>
      <c r="F49" s="124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>
        <v>170755.818</v>
      </c>
      <c r="T49" s="123">
        <f t="shared" si="10"/>
        <v>170755.818</v>
      </c>
      <c r="U49" s="123"/>
      <c r="V49" s="123"/>
      <c r="W49" s="125">
        <f t="shared" si="6"/>
        <v>170755.818</v>
      </c>
      <c r="X49" s="125"/>
      <c r="Y49" s="125">
        <f t="shared" si="4"/>
        <v>170755.818</v>
      </c>
    </row>
    <row r="50" spans="1:25" x14ac:dyDescent="0.25">
      <c r="A50" s="45">
        <v>49</v>
      </c>
      <c r="B50" s="64" t="s">
        <v>215</v>
      </c>
      <c r="C50" s="64" t="s">
        <v>215</v>
      </c>
      <c r="D50" s="65" t="s">
        <v>336</v>
      </c>
      <c r="E50" s="124"/>
      <c r="F50" s="124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>
        <v>42793.487999999998</v>
      </c>
      <c r="T50" s="123">
        <f t="shared" si="10"/>
        <v>42793.487999999998</v>
      </c>
      <c r="U50" s="123"/>
      <c r="V50" s="123"/>
      <c r="W50" s="125">
        <f t="shared" si="6"/>
        <v>42793.487999999998</v>
      </c>
      <c r="X50" s="125"/>
      <c r="Y50" s="125">
        <f t="shared" si="4"/>
        <v>42793.487999999998</v>
      </c>
    </row>
    <row r="51" spans="1:25" x14ac:dyDescent="0.25">
      <c r="A51" s="45">
        <v>50</v>
      </c>
      <c r="B51" s="64" t="s">
        <v>215</v>
      </c>
      <c r="C51" s="64" t="s">
        <v>215</v>
      </c>
      <c r="D51" s="65" t="s">
        <v>502</v>
      </c>
      <c r="E51" s="124"/>
      <c r="F51" s="124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>
        <v>19470.075000000001</v>
      </c>
      <c r="T51" s="123">
        <f t="shared" si="10"/>
        <v>19470.075000000001</v>
      </c>
      <c r="U51" s="123"/>
      <c r="V51" s="123"/>
      <c r="W51" s="125">
        <f t="shared" si="6"/>
        <v>19470.075000000001</v>
      </c>
      <c r="X51" s="125"/>
      <c r="Y51" s="125">
        <f t="shared" si="4"/>
        <v>19470.075000000001</v>
      </c>
    </row>
    <row r="52" spans="1:25" x14ac:dyDescent="0.25">
      <c r="A52" s="45">
        <v>51</v>
      </c>
      <c r="B52" s="64" t="s">
        <v>215</v>
      </c>
      <c r="C52" s="64" t="s">
        <v>215</v>
      </c>
      <c r="D52" s="65" t="s">
        <v>450</v>
      </c>
      <c r="E52" s="124"/>
      <c r="F52" s="124"/>
      <c r="G52" s="123"/>
      <c r="H52" s="123"/>
      <c r="I52" s="123"/>
      <c r="J52" s="123"/>
      <c r="K52" s="123"/>
      <c r="L52" s="123"/>
      <c r="M52" s="123"/>
      <c r="N52" s="123"/>
      <c r="O52" s="123">
        <v>15345</v>
      </c>
      <c r="P52" s="123">
        <f>O52</f>
        <v>15345</v>
      </c>
      <c r="Q52" s="123"/>
      <c r="R52" s="123"/>
      <c r="S52" s="123"/>
      <c r="T52" s="123"/>
      <c r="U52" s="123"/>
      <c r="V52" s="123"/>
      <c r="W52" s="125">
        <f t="shared" ref="W52:W63" si="11">E52+G52+I52+M52+O52+Q52+U52+K52+S52</f>
        <v>15345</v>
      </c>
      <c r="X52" s="125"/>
      <c r="Y52" s="125">
        <f t="shared" si="4"/>
        <v>15345</v>
      </c>
    </row>
    <row r="53" spans="1:25" x14ac:dyDescent="0.25">
      <c r="A53" s="45">
        <v>52</v>
      </c>
      <c r="B53" s="45" t="s">
        <v>215</v>
      </c>
      <c r="C53" s="45" t="s">
        <v>215</v>
      </c>
      <c r="D53" s="65" t="s">
        <v>503</v>
      </c>
      <c r="E53" s="124"/>
      <c r="F53" s="124"/>
      <c r="G53" s="123"/>
      <c r="H53" s="123"/>
      <c r="I53" s="123"/>
      <c r="J53" s="123"/>
      <c r="K53" s="123"/>
      <c r="L53" s="123"/>
      <c r="M53" s="123"/>
      <c r="N53" s="123"/>
      <c r="O53" s="123">
        <v>300</v>
      </c>
      <c r="P53" s="123">
        <f t="shared" ref="P53:P60" si="12">O53</f>
        <v>300</v>
      </c>
      <c r="Q53" s="123"/>
      <c r="R53" s="123"/>
      <c r="S53" s="123"/>
      <c r="T53" s="123"/>
      <c r="U53" s="123"/>
      <c r="V53" s="123"/>
      <c r="W53" s="125">
        <f t="shared" si="11"/>
        <v>300</v>
      </c>
      <c r="X53" s="125"/>
      <c r="Y53" s="125">
        <f t="shared" si="4"/>
        <v>300</v>
      </c>
    </row>
    <row r="54" spans="1:25" x14ac:dyDescent="0.25">
      <c r="A54" s="45">
        <v>53</v>
      </c>
      <c r="B54" s="45" t="s">
        <v>215</v>
      </c>
      <c r="C54" s="45" t="s">
        <v>215</v>
      </c>
      <c r="D54" s="65" t="s">
        <v>455</v>
      </c>
      <c r="E54" s="124"/>
      <c r="F54" s="124"/>
      <c r="G54" s="123"/>
      <c r="H54" s="123"/>
      <c r="I54" s="123"/>
      <c r="J54" s="123"/>
      <c r="K54" s="123"/>
      <c r="L54" s="123"/>
      <c r="M54" s="123"/>
      <c r="N54" s="123"/>
      <c r="O54" s="123">
        <v>481.8</v>
      </c>
      <c r="P54" s="123">
        <f t="shared" si="12"/>
        <v>481.8</v>
      </c>
      <c r="Q54" s="123"/>
      <c r="R54" s="123"/>
      <c r="S54" s="123"/>
      <c r="T54" s="123"/>
      <c r="U54" s="123"/>
      <c r="V54" s="123"/>
      <c r="W54" s="125">
        <f t="shared" si="11"/>
        <v>481.8</v>
      </c>
      <c r="X54" s="125"/>
      <c r="Y54" s="125">
        <f t="shared" si="4"/>
        <v>481.8</v>
      </c>
    </row>
    <row r="55" spans="1:25" x14ac:dyDescent="0.25">
      <c r="A55" s="45">
        <v>54</v>
      </c>
      <c r="B55" s="45" t="s">
        <v>215</v>
      </c>
      <c r="C55" s="45" t="s">
        <v>215</v>
      </c>
      <c r="D55" s="65" t="s">
        <v>504</v>
      </c>
      <c r="E55" s="124"/>
      <c r="F55" s="124"/>
      <c r="G55" s="123"/>
      <c r="H55" s="123"/>
      <c r="I55" s="123"/>
      <c r="J55" s="123"/>
      <c r="K55" s="123"/>
      <c r="L55" s="123"/>
      <c r="M55" s="123"/>
      <c r="N55" s="123"/>
      <c r="O55" s="123">
        <v>2000</v>
      </c>
      <c r="P55" s="123">
        <f t="shared" si="12"/>
        <v>2000</v>
      </c>
      <c r="Q55" s="123"/>
      <c r="R55" s="123"/>
      <c r="S55" s="123"/>
      <c r="T55" s="123"/>
      <c r="U55" s="123"/>
      <c r="V55" s="123"/>
      <c r="W55" s="125">
        <f t="shared" si="11"/>
        <v>2000</v>
      </c>
      <c r="X55" s="125"/>
      <c r="Y55" s="125">
        <f t="shared" si="4"/>
        <v>2000</v>
      </c>
    </row>
    <row r="56" spans="1:25" x14ac:dyDescent="0.25">
      <c r="A56" s="45">
        <v>55</v>
      </c>
      <c r="B56" s="45" t="s">
        <v>215</v>
      </c>
      <c r="C56" s="45" t="s">
        <v>215</v>
      </c>
      <c r="D56" s="65" t="s">
        <v>505</v>
      </c>
      <c r="E56" s="124"/>
      <c r="F56" s="124"/>
      <c r="G56" s="123"/>
      <c r="H56" s="123"/>
      <c r="I56" s="123"/>
      <c r="J56" s="123"/>
      <c r="K56" s="123"/>
      <c r="L56" s="123"/>
      <c r="M56" s="123"/>
      <c r="N56" s="123"/>
      <c r="O56" s="123">
        <v>1417.441</v>
      </c>
      <c r="P56" s="123">
        <f t="shared" si="12"/>
        <v>1417.441</v>
      </c>
      <c r="Q56" s="123"/>
      <c r="R56" s="123"/>
      <c r="S56" s="123"/>
      <c r="T56" s="123"/>
      <c r="U56" s="123"/>
      <c r="V56" s="123"/>
      <c r="W56" s="125">
        <f t="shared" si="11"/>
        <v>1417.441</v>
      </c>
      <c r="X56" s="125"/>
      <c r="Y56" s="125">
        <f t="shared" si="4"/>
        <v>1417.441</v>
      </c>
    </row>
    <row r="57" spans="1:25" x14ac:dyDescent="0.25">
      <c r="A57" s="45">
        <v>56</v>
      </c>
      <c r="B57" s="45" t="s">
        <v>215</v>
      </c>
      <c r="C57" s="45" t="s">
        <v>215</v>
      </c>
      <c r="D57" s="65" t="s">
        <v>506</v>
      </c>
      <c r="E57" s="124"/>
      <c r="F57" s="124"/>
      <c r="G57" s="123"/>
      <c r="H57" s="123"/>
      <c r="I57" s="123"/>
      <c r="J57" s="123"/>
      <c r="K57" s="123"/>
      <c r="L57" s="123"/>
      <c r="M57" s="123"/>
      <c r="N57" s="123"/>
      <c r="O57" s="123">
        <v>1759.077</v>
      </c>
      <c r="P57" s="123">
        <f t="shared" si="12"/>
        <v>1759.077</v>
      </c>
      <c r="Q57" s="123"/>
      <c r="R57" s="123"/>
      <c r="S57" s="123"/>
      <c r="T57" s="123"/>
      <c r="U57" s="123"/>
      <c r="V57" s="123"/>
      <c r="W57" s="125">
        <f t="shared" si="11"/>
        <v>1759.077</v>
      </c>
      <c r="X57" s="125"/>
      <c r="Y57" s="125">
        <f t="shared" si="4"/>
        <v>1759.077</v>
      </c>
    </row>
    <row r="58" spans="1:25" x14ac:dyDescent="0.25">
      <c r="A58" s="45">
        <v>57</v>
      </c>
      <c r="B58" s="45" t="s">
        <v>215</v>
      </c>
      <c r="C58" s="45" t="s">
        <v>215</v>
      </c>
      <c r="D58" s="65" t="s">
        <v>507</v>
      </c>
      <c r="E58" s="124"/>
      <c r="F58" s="124"/>
      <c r="G58" s="123"/>
      <c r="H58" s="123"/>
      <c r="I58" s="123"/>
      <c r="J58" s="123"/>
      <c r="K58" s="123"/>
      <c r="L58" s="123"/>
      <c r="M58" s="123"/>
      <c r="N58" s="123"/>
      <c r="O58" s="123">
        <v>1592</v>
      </c>
      <c r="P58" s="123">
        <f t="shared" si="12"/>
        <v>1592</v>
      </c>
      <c r="Q58" s="123"/>
      <c r="R58" s="123"/>
      <c r="S58" s="123"/>
      <c r="T58" s="123"/>
      <c r="U58" s="123"/>
      <c r="V58" s="123"/>
      <c r="W58" s="125">
        <f t="shared" si="11"/>
        <v>1592</v>
      </c>
      <c r="X58" s="125"/>
      <c r="Y58" s="125">
        <f t="shared" si="4"/>
        <v>1592</v>
      </c>
    </row>
    <row r="59" spans="1:25" x14ac:dyDescent="0.25">
      <c r="A59" s="45">
        <v>58</v>
      </c>
      <c r="B59" s="45" t="s">
        <v>215</v>
      </c>
      <c r="C59" s="45" t="s">
        <v>215</v>
      </c>
      <c r="D59" s="65" t="s">
        <v>508</v>
      </c>
      <c r="E59" s="124"/>
      <c r="F59" s="124"/>
      <c r="G59" s="123"/>
      <c r="H59" s="123"/>
      <c r="I59" s="123"/>
      <c r="J59" s="123"/>
      <c r="K59" s="123"/>
      <c r="L59" s="123"/>
      <c r="M59" s="123"/>
      <c r="N59" s="123"/>
      <c r="O59" s="123">
        <v>2882.1</v>
      </c>
      <c r="P59" s="123">
        <f t="shared" si="12"/>
        <v>2882.1</v>
      </c>
      <c r="Q59" s="123"/>
      <c r="R59" s="123"/>
      <c r="S59" s="123"/>
      <c r="T59" s="123"/>
      <c r="U59" s="123"/>
      <c r="V59" s="123"/>
      <c r="W59" s="125">
        <f t="shared" si="11"/>
        <v>2882.1</v>
      </c>
      <c r="X59" s="125"/>
      <c r="Y59" s="125">
        <f t="shared" si="4"/>
        <v>2882.1</v>
      </c>
    </row>
    <row r="60" spans="1:25" x14ac:dyDescent="0.25">
      <c r="A60" s="45">
        <v>59</v>
      </c>
      <c r="B60" s="45" t="s">
        <v>215</v>
      </c>
      <c r="C60" s="45" t="s">
        <v>215</v>
      </c>
      <c r="D60" s="65" t="s">
        <v>509</v>
      </c>
      <c r="E60" s="124"/>
      <c r="F60" s="124"/>
      <c r="G60" s="123"/>
      <c r="H60" s="123"/>
      <c r="I60" s="123"/>
      <c r="J60" s="123"/>
      <c r="K60" s="123"/>
      <c r="L60" s="123"/>
      <c r="M60" s="123">
        <v>5475.56</v>
      </c>
      <c r="N60" s="123">
        <f>M60</f>
        <v>5475.56</v>
      </c>
      <c r="O60" s="123">
        <v>5000</v>
      </c>
      <c r="P60" s="123">
        <f t="shared" si="12"/>
        <v>5000</v>
      </c>
      <c r="Q60" s="123"/>
      <c r="R60" s="123"/>
      <c r="S60" s="123"/>
      <c r="T60" s="123"/>
      <c r="U60" s="123"/>
      <c r="V60" s="123"/>
      <c r="W60" s="125">
        <f t="shared" si="11"/>
        <v>10475.560000000001</v>
      </c>
      <c r="X60" s="125"/>
      <c r="Y60" s="125">
        <f t="shared" si="4"/>
        <v>10475.560000000001</v>
      </c>
    </row>
    <row r="61" spans="1:25" x14ac:dyDescent="0.25">
      <c r="A61" s="45">
        <v>60</v>
      </c>
      <c r="B61" s="45"/>
      <c r="C61" s="45" t="s">
        <v>215</v>
      </c>
      <c r="D61" s="65" t="s">
        <v>527</v>
      </c>
      <c r="E61" s="124"/>
      <c r="F61" s="124"/>
      <c r="G61" s="123"/>
      <c r="H61" s="123"/>
      <c r="I61" s="123"/>
      <c r="J61" s="123"/>
      <c r="K61" s="123"/>
      <c r="L61" s="123"/>
      <c r="M61" s="123"/>
      <c r="N61" s="123"/>
      <c r="O61" s="123"/>
      <c r="P61" s="123">
        <v>1417.44</v>
      </c>
      <c r="Q61" s="123"/>
      <c r="R61" s="123"/>
      <c r="S61" s="123"/>
      <c r="T61" s="123"/>
      <c r="U61" s="123"/>
      <c r="V61" s="123"/>
      <c r="W61" s="125"/>
      <c r="X61" s="125"/>
      <c r="Y61" s="125">
        <f t="shared" si="4"/>
        <v>1417.44</v>
      </c>
    </row>
    <row r="62" spans="1:25" x14ac:dyDescent="0.25">
      <c r="A62" s="45">
        <v>61</v>
      </c>
      <c r="B62" s="45"/>
      <c r="C62" s="45" t="s">
        <v>211</v>
      </c>
      <c r="D62" s="65" t="s">
        <v>535</v>
      </c>
      <c r="E62" s="124"/>
      <c r="F62" s="124"/>
      <c r="G62" s="123"/>
      <c r="H62" s="123"/>
      <c r="I62" s="123"/>
      <c r="J62" s="123">
        <v>12608</v>
      </c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5"/>
      <c r="X62" s="125"/>
      <c r="Y62" s="125">
        <f t="shared" si="4"/>
        <v>12608</v>
      </c>
    </row>
    <row r="63" spans="1:25" x14ac:dyDescent="0.25">
      <c r="A63" s="45">
        <v>62</v>
      </c>
      <c r="B63" s="45" t="s">
        <v>211</v>
      </c>
      <c r="C63" s="45" t="s">
        <v>211</v>
      </c>
      <c r="D63" s="46" t="s">
        <v>233</v>
      </c>
      <c r="E63" s="124">
        <v>917</v>
      </c>
      <c r="F63" s="124">
        <f>E63</f>
        <v>917</v>
      </c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5">
        <f t="shared" si="11"/>
        <v>917</v>
      </c>
      <c r="X63" s="125"/>
      <c r="Y63" s="125">
        <f t="shared" si="4"/>
        <v>917</v>
      </c>
    </row>
    <row r="64" spans="1:25" x14ac:dyDescent="0.25">
      <c r="A64" s="45">
        <v>63</v>
      </c>
      <c r="B64" s="45">
        <v>144</v>
      </c>
      <c r="C64" s="45" t="s">
        <v>211</v>
      </c>
      <c r="D64" s="46" t="s">
        <v>234</v>
      </c>
      <c r="E64" s="124">
        <v>5950</v>
      </c>
      <c r="F64" s="124">
        <f>E64</f>
        <v>5950</v>
      </c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5">
        <f>E64+G64+I64+M64+O64+Q64+U64+K64</f>
        <v>5950</v>
      </c>
      <c r="X64" s="125">
        <f>F64+H64+J64+N64+P64+R64+V64</f>
        <v>5950</v>
      </c>
      <c r="Y64" s="125">
        <f t="shared" si="4"/>
        <v>5950</v>
      </c>
    </row>
    <row r="65" spans="1:27" ht="15.75" x14ac:dyDescent="0.25">
      <c r="A65" s="45">
        <v>64</v>
      </c>
      <c r="B65" s="45"/>
      <c r="C65" s="45"/>
      <c r="D65" s="106" t="s">
        <v>235</v>
      </c>
      <c r="E65" s="125">
        <f t="shared" ref="E65:R65" si="13">SUM(E5:E64)</f>
        <v>29817</v>
      </c>
      <c r="F65" s="125">
        <f t="shared" si="13"/>
        <v>29817</v>
      </c>
      <c r="G65" s="125">
        <f t="shared" si="13"/>
        <v>118432</v>
      </c>
      <c r="H65" s="125">
        <f t="shared" si="13"/>
        <v>118432</v>
      </c>
      <c r="I65" s="125">
        <f t="shared" si="13"/>
        <v>289048.07000000007</v>
      </c>
      <c r="J65" s="125">
        <f t="shared" si="13"/>
        <v>301656.07000000007</v>
      </c>
      <c r="K65" s="125">
        <f t="shared" si="13"/>
        <v>0</v>
      </c>
      <c r="L65" s="125">
        <f t="shared" si="13"/>
        <v>0</v>
      </c>
      <c r="M65" s="125">
        <f t="shared" si="13"/>
        <v>109877.508</v>
      </c>
      <c r="N65" s="125">
        <f t="shared" si="13"/>
        <v>125484.132</v>
      </c>
      <c r="O65" s="125">
        <f t="shared" si="13"/>
        <v>117562.95000000003</v>
      </c>
      <c r="P65" s="125">
        <f t="shared" si="13"/>
        <v>118980.39000000003</v>
      </c>
      <c r="Q65" s="125">
        <f t="shared" si="13"/>
        <v>0</v>
      </c>
      <c r="R65" s="125">
        <f t="shared" si="13"/>
        <v>0</v>
      </c>
      <c r="S65" s="125">
        <f t="shared" ref="S65:T65" si="14">SUM(S5:S64)</f>
        <v>649268.43599999999</v>
      </c>
      <c r="T65" s="125">
        <f t="shared" si="14"/>
        <v>671268.77799999993</v>
      </c>
      <c r="U65" s="125">
        <f>SUM(U5:U64)</f>
        <v>0</v>
      </c>
      <c r="V65" s="125">
        <f>SUM(V5:V64)</f>
        <v>0</v>
      </c>
      <c r="W65" s="125">
        <f>SUM(W5:W64)</f>
        <v>1314005.9640000004</v>
      </c>
      <c r="X65" s="125">
        <f t="shared" ref="X65" si="15">SUM(X5:X64)</f>
        <v>643174.17400000023</v>
      </c>
      <c r="Y65" s="125">
        <f>SUM(Y5:Y64)</f>
        <v>1365638.3700000003</v>
      </c>
    </row>
    <row r="66" spans="1:27" x14ac:dyDescent="0.25">
      <c r="A66" s="45">
        <v>65</v>
      </c>
      <c r="B66" s="45"/>
      <c r="C66" s="45"/>
      <c r="D66" s="104" t="s">
        <v>236</v>
      </c>
      <c r="E66" s="129">
        <f>SUMIF($C5:$C64,"kötelező",E5:E64)</f>
        <v>26667</v>
      </c>
      <c r="F66" s="129">
        <f>SUMIF($C5:$C64,"kötelező",F5:F64)</f>
        <v>26667</v>
      </c>
      <c r="G66" s="129">
        <f>SUMIF($C5:$C64,"kötelező",G5:G64)-22059.352</f>
        <v>96372.648000000001</v>
      </c>
      <c r="H66" s="129">
        <f>SUMIF($C5:$C49,"kötelező",H5:H64)-28325.55</f>
        <v>90106.45</v>
      </c>
      <c r="I66" s="129">
        <f>SUMIF($C5:$C64,"kötelező",I5:I64)-7408</f>
        <v>245675.07</v>
      </c>
      <c r="J66" s="129">
        <f>SUMIF($C5:$C64,"kötelező",J5:J64)-7408</f>
        <v>258283.07</v>
      </c>
      <c r="K66" s="129">
        <f>SUMIF($C5:$C64,"kötelező",K5:K64)</f>
        <v>0</v>
      </c>
      <c r="L66" s="129"/>
      <c r="M66" s="129">
        <f t="shared" ref="M66:R66" si="16">SUMIF($C5:$C64,"kötelező",M5:M64)</f>
        <v>89046.698000000004</v>
      </c>
      <c r="N66" s="129">
        <f t="shared" si="16"/>
        <v>104653.322</v>
      </c>
      <c r="O66" s="129">
        <f t="shared" si="16"/>
        <v>2000</v>
      </c>
      <c r="P66" s="129">
        <f t="shared" si="16"/>
        <v>2000</v>
      </c>
      <c r="Q66" s="129">
        <f t="shared" si="16"/>
        <v>0</v>
      </c>
      <c r="R66" s="129">
        <f t="shared" si="16"/>
        <v>0</v>
      </c>
      <c r="S66" s="129">
        <f t="shared" ref="S66:T66" si="17">SUMIF($C5:$C64,"kötelező",S5:S64)</f>
        <v>17671.472999999998</v>
      </c>
      <c r="T66" s="129">
        <f t="shared" si="17"/>
        <v>17671.472999999998</v>
      </c>
      <c r="U66" s="129">
        <f>SUMIF($C5:$C64,"kötelező",U5:U64)</f>
        <v>0</v>
      </c>
      <c r="V66" s="129">
        <f>SUMIF($C5:$C64,"kötelező",V5:V64)</f>
        <v>0</v>
      </c>
      <c r="W66" s="129">
        <f>E66+G66+I66+M66+O66+Q66+U66+K66+S66</f>
        <v>477432.88899999997</v>
      </c>
      <c r="X66" s="129">
        <f>F66+H66+J66+N66+P66+R66+V66</f>
        <v>481709.842</v>
      </c>
      <c r="Y66" s="128">
        <f t="shared" ref="Y66:Y68" si="18">F66+H66+J66+N66+P66+R66+V66+L66+T66</f>
        <v>499381.315</v>
      </c>
    </row>
    <row r="67" spans="1:27" s="114" customFormat="1" x14ac:dyDescent="0.25">
      <c r="A67" s="45">
        <v>66</v>
      </c>
      <c r="B67" s="45"/>
      <c r="C67" s="45"/>
      <c r="D67" s="104" t="s">
        <v>305</v>
      </c>
      <c r="E67" s="129"/>
      <c r="F67" s="129"/>
      <c r="G67" s="129"/>
      <c r="H67" s="129"/>
      <c r="I67" s="129">
        <v>7408</v>
      </c>
      <c r="J67" s="129">
        <v>7408</v>
      </c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>
        <f t="shared" ref="W67:W68" si="19">E67+G67+I67+M67+O67+Q67+U67+K67+S67</f>
        <v>7408</v>
      </c>
      <c r="X67" s="129">
        <v>5525</v>
      </c>
      <c r="Y67" s="128">
        <f t="shared" si="18"/>
        <v>7408</v>
      </c>
      <c r="Z67" s="113"/>
      <c r="AA67" s="113"/>
    </row>
    <row r="68" spans="1:27" x14ac:dyDescent="0.25">
      <c r="A68" s="45">
        <v>67</v>
      </c>
      <c r="B68" s="45"/>
      <c r="C68" s="104"/>
      <c r="D68" s="104" t="s">
        <v>237</v>
      </c>
      <c r="E68" s="129">
        <f>SUMIF($C5:$C64,"nem kötelező",E5:E64)</f>
        <v>3150</v>
      </c>
      <c r="F68" s="129">
        <f>SUMIF($C5:$C49,"nem kötelező",F5:F64)</f>
        <v>3150</v>
      </c>
      <c r="G68" s="129">
        <v>22059.351999999999</v>
      </c>
      <c r="H68" s="129">
        <f>SUMIF($C5:$C49,"nem kötelező",H5:H64)+28325.55</f>
        <v>28325.55</v>
      </c>
      <c r="I68" s="129">
        <f>SUMIF($C5:$C49,"nem kötelező",I5:I64)</f>
        <v>35965</v>
      </c>
      <c r="J68" s="129">
        <f>SUMIF($C5:$C64,"nem kötelező",J5:J64)</f>
        <v>35965</v>
      </c>
      <c r="K68" s="129">
        <f>SUMIF($C7:$C66,"nem kötelező",K7:K66)</f>
        <v>0</v>
      </c>
      <c r="L68" s="129">
        <f>SUMIF($C5:$C49,"nem kötelező",L5:L64)</f>
        <v>0</v>
      </c>
      <c r="M68" s="129">
        <f t="shared" ref="M68:R68" si="20">SUMIF($C5:$C64,"nem kötelező",M5:M64)</f>
        <v>20830.810000000001</v>
      </c>
      <c r="N68" s="129">
        <f t="shared" si="20"/>
        <v>20830.810000000001</v>
      </c>
      <c r="O68" s="129">
        <f t="shared" si="20"/>
        <v>115562.95000000003</v>
      </c>
      <c r="P68" s="129">
        <f t="shared" si="20"/>
        <v>116980.39000000003</v>
      </c>
      <c r="Q68" s="129">
        <f t="shared" si="20"/>
        <v>0</v>
      </c>
      <c r="R68" s="129">
        <f t="shared" si="20"/>
        <v>0</v>
      </c>
      <c r="S68" s="129">
        <f t="shared" ref="S68:T68" si="21">SUMIF($C5:$C64,"nem kötelező",S5:S64)</f>
        <v>631596.96299999999</v>
      </c>
      <c r="T68" s="129">
        <f t="shared" si="21"/>
        <v>653597.30499999993</v>
      </c>
      <c r="U68" s="129">
        <f>SUMIF($C5:$C64,"nem kötelező",U5:U64)</f>
        <v>0</v>
      </c>
      <c r="V68" s="129">
        <f>SUMIF($C5:$C64,"nem kötelező",V5:V64)</f>
        <v>0</v>
      </c>
      <c r="W68" s="129">
        <f t="shared" si="19"/>
        <v>829165.07499999995</v>
      </c>
      <c r="X68" s="129">
        <f>SUMIF($C5:$C49,"nem kötelező",X5:X64)+92025.911-10610.254</f>
        <v>220671.43899999995</v>
      </c>
      <c r="Y68" s="128">
        <f t="shared" si="18"/>
        <v>858849.05499999993</v>
      </c>
      <c r="Z68" s="113"/>
      <c r="AA68" s="113"/>
    </row>
    <row r="69" spans="1:27" x14ac:dyDescent="0.25">
      <c r="A69" s="45">
        <v>68</v>
      </c>
      <c r="B69" s="45"/>
      <c r="C69" s="110"/>
      <c r="D69" s="111" t="s">
        <v>315</v>
      </c>
      <c r="E69" s="130">
        <f>SUM(E70:E72)</f>
        <v>345</v>
      </c>
      <c r="F69" s="130">
        <f>SUM(F70:F72)</f>
        <v>345</v>
      </c>
      <c r="G69" s="130">
        <f>SUM(G70:G72)</f>
        <v>0</v>
      </c>
      <c r="H69" s="130"/>
      <c r="I69" s="130">
        <f t="shared" ref="I69:Y69" si="22">SUM(I70:I72)</f>
        <v>0</v>
      </c>
      <c r="J69" s="130"/>
      <c r="K69" s="130"/>
      <c r="L69" s="130"/>
      <c r="M69" s="130">
        <f t="shared" si="22"/>
        <v>0</v>
      </c>
      <c r="N69" s="130"/>
      <c r="O69" s="130">
        <f t="shared" si="22"/>
        <v>0</v>
      </c>
      <c r="P69" s="130"/>
      <c r="Q69" s="130">
        <f t="shared" si="22"/>
        <v>0</v>
      </c>
      <c r="R69" s="130"/>
      <c r="S69" s="130"/>
      <c r="T69" s="130"/>
      <c r="U69" s="130">
        <f t="shared" si="22"/>
        <v>0</v>
      </c>
      <c r="V69" s="130">
        <f t="shared" si="22"/>
        <v>0</v>
      </c>
      <c r="W69" s="130">
        <f t="shared" si="22"/>
        <v>345</v>
      </c>
      <c r="X69" s="130">
        <f t="shared" si="22"/>
        <v>345</v>
      </c>
      <c r="Y69" s="130">
        <f t="shared" si="22"/>
        <v>977.49699999999996</v>
      </c>
      <c r="Z69" s="113"/>
      <c r="AA69" s="113"/>
    </row>
    <row r="70" spans="1:27" x14ac:dyDescent="0.25">
      <c r="A70" s="45">
        <v>69</v>
      </c>
      <c r="B70" s="45"/>
      <c r="C70" s="45" t="s">
        <v>211</v>
      </c>
      <c r="D70" s="115" t="s">
        <v>238</v>
      </c>
      <c r="E70" s="131">
        <v>345</v>
      </c>
      <c r="F70" s="131">
        <v>345</v>
      </c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>
        <v>632.49699999999996</v>
      </c>
      <c r="U70" s="131"/>
      <c r="V70" s="131"/>
      <c r="W70" s="128">
        <f>E70+G70+I70+M70+O70+Q70+U70</f>
        <v>345</v>
      </c>
      <c r="X70" s="128">
        <f>F70+H70+J70+N70+P70+R70+V70</f>
        <v>345</v>
      </c>
      <c r="Y70" s="128">
        <f>F70+H70+J70+N70+P70+R70+V70+T70</f>
        <v>977.49699999999996</v>
      </c>
      <c r="Z70" s="113"/>
      <c r="AA70" s="113"/>
    </row>
    <row r="71" spans="1:27" s="114" customFormat="1" x14ac:dyDescent="0.25">
      <c r="A71" s="45">
        <v>70</v>
      </c>
      <c r="B71" s="45"/>
      <c r="C71" s="45" t="s">
        <v>215</v>
      </c>
      <c r="D71" s="115" t="s">
        <v>239</v>
      </c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28">
        <f t="shared" ref="W71:W72" si="23">E71+G71+I71+M71+O71+Q71+U71</f>
        <v>0</v>
      </c>
      <c r="X71" s="116"/>
      <c r="Y71" s="128">
        <f t="shared" ref="Y71:Y72" si="24">F71+H71+J71+N71+P71+R71+V71+T71</f>
        <v>0</v>
      </c>
      <c r="Z71" s="113"/>
      <c r="AA71" s="113"/>
    </row>
    <row r="72" spans="1:27" x14ac:dyDescent="0.25">
      <c r="A72" s="45">
        <v>71</v>
      </c>
      <c r="B72" s="45"/>
      <c r="C72" s="45" t="s">
        <v>314</v>
      </c>
      <c r="D72" s="115" t="s">
        <v>305</v>
      </c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28">
        <f t="shared" si="23"/>
        <v>0</v>
      </c>
      <c r="X72" s="116"/>
      <c r="Y72" s="128">
        <f t="shared" si="24"/>
        <v>0</v>
      </c>
      <c r="Z72" s="113"/>
      <c r="AA72" s="113"/>
    </row>
    <row r="73" spans="1:27" x14ac:dyDescent="0.25">
      <c r="A73" s="45">
        <v>72</v>
      </c>
      <c r="B73" s="45"/>
      <c r="C73" s="110"/>
      <c r="D73" s="111" t="s">
        <v>240</v>
      </c>
      <c r="E73" s="130">
        <f>SUM(E74:E75)</f>
        <v>6.5</v>
      </c>
      <c r="F73" s="130">
        <f>SUM(F74:F75)</f>
        <v>6.5</v>
      </c>
      <c r="G73" s="130">
        <f t="shared" ref="G73" si="25">SUM(G74:G75)</f>
        <v>0</v>
      </c>
      <c r="H73" s="130">
        <f t="shared" ref="H73:X73" si="26">SUM(H74:H75)</f>
        <v>0</v>
      </c>
      <c r="I73" s="130">
        <f t="shared" si="26"/>
        <v>0</v>
      </c>
      <c r="J73" s="130">
        <f t="shared" si="26"/>
        <v>0</v>
      </c>
      <c r="K73" s="130">
        <f t="shared" si="26"/>
        <v>0</v>
      </c>
      <c r="L73" s="130">
        <f t="shared" si="26"/>
        <v>0</v>
      </c>
      <c r="M73" s="130">
        <f t="shared" si="26"/>
        <v>0</v>
      </c>
      <c r="N73" s="130">
        <f t="shared" si="26"/>
        <v>0</v>
      </c>
      <c r="O73" s="130">
        <f t="shared" si="26"/>
        <v>0</v>
      </c>
      <c r="P73" s="130">
        <f t="shared" si="26"/>
        <v>0</v>
      </c>
      <c r="Q73" s="130">
        <f t="shared" si="26"/>
        <v>0</v>
      </c>
      <c r="R73" s="130">
        <f t="shared" si="26"/>
        <v>0</v>
      </c>
      <c r="S73" s="130">
        <f t="shared" si="26"/>
        <v>0</v>
      </c>
      <c r="T73" s="130">
        <f t="shared" si="26"/>
        <v>0</v>
      </c>
      <c r="U73" s="130">
        <f t="shared" si="26"/>
        <v>0</v>
      </c>
      <c r="V73" s="130">
        <f t="shared" si="26"/>
        <v>0</v>
      </c>
      <c r="W73" s="130">
        <f t="shared" si="26"/>
        <v>6.5</v>
      </c>
      <c r="X73" s="130">
        <f t="shared" si="26"/>
        <v>6.5</v>
      </c>
      <c r="Y73" s="130">
        <f>SUM(Y74:Y75)</f>
        <v>6.5</v>
      </c>
      <c r="Z73" s="113"/>
      <c r="AA73" s="113"/>
    </row>
    <row r="74" spans="1:27" s="114" customFormat="1" x14ac:dyDescent="0.25">
      <c r="A74" s="45">
        <v>73</v>
      </c>
      <c r="B74" s="45"/>
      <c r="C74" s="45" t="s">
        <v>211</v>
      </c>
      <c r="D74" s="115" t="s">
        <v>238</v>
      </c>
      <c r="E74" s="131">
        <v>6.5</v>
      </c>
      <c r="F74" s="131">
        <v>6.5</v>
      </c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>
        <f>E74+G74+I74+K74+M74+O74+Q74+U74</f>
        <v>6.5</v>
      </c>
      <c r="X74" s="131">
        <f t="shared" ref="X74:X75" si="27">F74+H74+J74+L74+N74+P74+R74+V74</f>
        <v>6.5</v>
      </c>
      <c r="Y74" s="131">
        <f>F74+H74+J74+L74+N74+P74+R74+V74+T74</f>
        <v>6.5</v>
      </c>
      <c r="Z74" s="113"/>
      <c r="AA74" s="113"/>
    </row>
    <row r="75" spans="1:27" x14ac:dyDescent="0.25">
      <c r="A75" s="45">
        <v>74</v>
      </c>
      <c r="B75" s="45"/>
      <c r="C75" s="45" t="s">
        <v>215</v>
      </c>
      <c r="D75" s="115" t="s">
        <v>239</v>
      </c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>
        <f>E75+G75+I75+K75+M75+O75+Q75+U75</f>
        <v>0</v>
      </c>
      <c r="X75" s="131">
        <f t="shared" si="27"/>
        <v>0</v>
      </c>
      <c r="Y75" s="131">
        <f>F75+H75+J75+L75+N75+P75+R75+V75+T75</f>
        <v>0</v>
      </c>
      <c r="Z75" s="113"/>
      <c r="AA75" s="113"/>
    </row>
    <row r="76" spans="1:27" x14ac:dyDescent="0.25">
      <c r="A76" s="45">
        <v>75</v>
      </c>
      <c r="B76" s="45"/>
      <c r="C76" s="110"/>
      <c r="D76" s="111" t="s">
        <v>241</v>
      </c>
      <c r="E76" s="130">
        <f>E77+E78</f>
        <v>32099</v>
      </c>
      <c r="F76" s="130">
        <f>F77+F78</f>
        <v>32099</v>
      </c>
      <c r="G76" s="130">
        <f t="shared" ref="G76" si="28">G77+G78</f>
        <v>0</v>
      </c>
      <c r="H76" s="130">
        <f t="shared" ref="H76:V76" si="29">H77+H78</f>
        <v>0</v>
      </c>
      <c r="I76" s="130">
        <f t="shared" si="29"/>
        <v>0</v>
      </c>
      <c r="J76" s="130">
        <f t="shared" si="29"/>
        <v>0</v>
      </c>
      <c r="K76" s="130">
        <f t="shared" si="29"/>
        <v>0</v>
      </c>
      <c r="L76" s="130">
        <f t="shared" si="29"/>
        <v>0</v>
      </c>
      <c r="M76" s="130">
        <f t="shared" si="29"/>
        <v>0</v>
      </c>
      <c r="N76" s="130">
        <f t="shared" si="29"/>
        <v>0</v>
      </c>
      <c r="O76" s="130">
        <f t="shared" si="29"/>
        <v>0</v>
      </c>
      <c r="P76" s="130">
        <f t="shared" si="29"/>
        <v>0</v>
      </c>
      <c r="Q76" s="130">
        <f t="shared" si="29"/>
        <v>0</v>
      </c>
      <c r="R76" s="130">
        <f t="shared" si="29"/>
        <v>0</v>
      </c>
      <c r="S76" s="130">
        <f t="shared" si="29"/>
        <v>0</v>
      </c>
      <c r="T76" s="130">
        <f t="shared" si="29"/>
        <v>316.666</v>
      </c>
      <c r="U76" s="130">
        <f t="shared" si="29"/>
        <v>0</v>
      </c>
      <c r="V76" s="130">
        <f t="shared" si="29"/>
        <v>0</v>
      </c>
      <c r="W76" s="130">
        <f>SUM(W77:W78)</f>
        <v>32099</v>
      </c>
      <c r="X76" s="130">
        <f t="shared" ref="X76:Y76" si="30">SUM(X77:X78)</f>
        <v>32099</v>
      </c>
      <c r="Y76" s="130">
        <f t="shared" si="30"/>
        <v>32415.666000000001</v>
      </c>
      <c r="Z76" s="113"/>
      <c r="AA76" s="113"/>
    </row>
    <row r="77" spans="1:27" s="114" customFormat="1" x14ac:dyDescent="0.25">
      <c r="A77" s="45">
        <v>76</v>
      </c>
      <c r="B77" s="45"/>
      <c r="C77" s="45" t="s">
        <v>211</v>
      </c>
      <c r="D77" s="115" t="s">
        <v>238</v>
      </c>
      <c r="E77" s="131">
        <v>4369</v>
      </c>
      <c r="F77" s="131">
        <v>4369</v>
      </c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28">
        <f>E77+G77+I77+M77+O77+Q77+U77</f>
        <v>4369</v>
      </c>
      <c r="X77" s="128">
        <f>F77+H77+J77+N77+P77+R77+V77</f>
        <v>4369</v>
      </c>
      <c r="Y77" s="128">
        <f>F77+H77+J77+N77+P77+R77+V77+T77</f>
        <v>4369</v>
      </c>
      <c r="Z77" s="113"/>
      <c r="AA77" s="113"/>
    </row>
    <row r="78" spans="1:27" x14ac:dyDescent="0.25">
      <c r="A78" s="45">
        <v>77</v>
      </c>
      <c r="B78" s="45"/>
      <c r="C78" s="45" t="s">
        <v>215</v>
      </c>
      <c r="D78" s="115" t="s">
        <v>239</v>
      </c>
      <c r="E78" s="131">
        <v>27730</v>
      </c>
      <c r="F78" s="131">
        <v>27730</v>
      </c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>
        <v>316.666</v>
      </c>
      <c r="U78" s="131"/>
      <c r="V78" s="131"/>
      <c r="W78" s="128">
        <f>E78+G78+I78+M78+O78+Q78+U78</f>
        <v>27730</v>
      </c>
      <c r="X78" s="128">
        <f>F78+H78+J78+N78+P78+R78+V78</f>
        <v>27730</v>
      </c>
      <c r="Y78" s="128">
        <f>F78+H78+J78+N78+P78+R78+V78+T78</f>
        <v>28046.666000000001</v>
      </c>
      <c r="Z78" s="113"/>
      <c r="AA78" s="113"/>
    </row>
    <row r="79" spans="1:27" x14ac:dyDescent="0.25">
      <c r="A79" s="45">
        <v>78</v>
      </c>
      <c r="B79" s="45"/>
      <c r="C79" s="110"/>
      <c r="D79" s="111" t="s">
        <v>339</v>
      </c>
      <c r="E79" s="130">
        <f>SUM(E80:E81)</f>
        <v>4166</v>
      </c>
      <c r="F79" s="130">
        <f t="shared" ref="F79:P79" si="31">SUM(F80:F81)</f>
        <v>4166</v>
      </c>
      <c r="G79" s="130">
        <f t="shared" si="31"/>
        <v>0</v>
      </c>
      <c r="H79" s="130">
        <f t="shared" si="31"/>
        <v>0</v>
      </c>
      <c r="I79" s="130">
        <f t="shared" si="31"/>
        <v>0</v>
      </c>
      <c r="J79" s="130">
        <f t="shared" si="31"/>
        <v>0</v>
      </c>
      <c r="K79" s="130">
        <f t="shared" si="31"/>
        <v>0</v>
      </c>
      <c r="L79" s="130">
        <f t="shared" si="31"/>
        <v>0</v>
      </c>
      <c r="M79" s="130">
        <f t="shared" si="31"/>
        <v>1705.9</v>
      </c>
      <c r="N79" s="130">
        <f t="shared" si="31"/>
        <v>5915.884</v>
      </c>
      <c r="O79" s="130">
        <f t="shared" si="31"/>
        <v>0</v>
      </c>
      <c r="P79" s="130">
        <f t="shared" si="31"/>
        <v>0</v>
      </c>
      <c r="Q79" s="130">
        <f t="shared" ref="Q79:Y79" si="32">SUM(Q80:Q81)</f>
        <v>258</v>
      </c>
      <c r="R79" s="130">
        <f t="shared" si="32"/>
        <v>258</v>
      </c>
      <c r="S79" s="130">
        <f t="shared" si="32"/>
        <v>10680.674000000001</v>
      </c>
      <c r="T79" s="130">
        <f t="shared" si="32"/>
        <v>10680.674000000001</v>
      </c>
      <c r="U79" s="130">
        <f t="shared" si="32"/>
        <v>0</v>
      </c>
      <c r="V79" s="130">
        <f t="shared" si="32"/>
        <v>0</v>
      </c>
      <c r="W79" s="130">
        <f>SUM(W80:W81)</f>
        <v>16810.574000000001</v>
      </c>
      <c r="X79" s="130">
        <f t="shared" si="32"/>
        <v>10339.884</v>
      </c>
      <c r="Y79" s="130">
        <f t="shared" si="32"/>
        <v>21020.558000000005</v>
      </c>
      <c r="Z79" s="113"/>
      <c r="AA79" s="113"/>
    </row>
    <row r="80" spans="1:27" x14ac:dyDescent="0.25">
      <c r="A80" s="45">
        <v>79</v>
      </c>
      <c r="B80" s="45"/>
      <c r="C80" s="45" t="s">
        <v>211</v>
      </c>
      <c r="D80" s="351" t="s">
        <v>238</v>
      </c>
      <c r="E80" s="131">
        <v>1255</v>
      </c>
      <c r="F80" s="131">
        <v>1255</v>
      </c>
      <c r="G80" s="131"/>
      <c r="H80" s="131"/>
      <c r="I80" s="131"/>
      <c r="J80" s="131"/>
      <c r="K80" s="131"/>
      <c r="L80" s="131"/>
      <c r="M80" s="131">
        <v>1354.9</v>
      </c>
      <c r="N80" s="131">
        <v>1354.9</v>
      </c>
      <c r="O80" s="131"/>
      <c r="P80" s="131"/>
      <c r="Q80" s="131"/>
      <c r="R80" s="131"/>
      <c r="S80" s="131"/>
      <c r="T80" s="131"/>
      <c r="U80" s="131"/>
      <c r="V80" s="131"/>
      <c r="W80" s="128">
        <f>E80+G80+I80+M80+O80+Q80+U80+S80</f>
        <v>2609.9</v>
      </c>
      <c r="X80" s="128">
        <f t="shared" ref="X80" si="33">F80+H80+J80+N80+P80+R80+V80</f>
        <v>2609.9</v>
      </c>
      <c r="Y80" s="128">
        <f>F80+H80+J80+L80+N80+P80+R80+V80+T80</f>
        <v>2609.9</v>
      </c>
      <c r="Z80" s="113"/>
      <c r="AA80" s="113"/>
    </row>
    <row r="81" spans="1:27" s="114" customFormat="1" x14ac:dyDescent="0.25">
      <c r="A81" s="45">
        <v>80</v>
      </c>
      <c r="B81" s="45"/>
      <c r="C81" s="45" t="s">
        <v>215</v>
      </c>
      <c r="D81" s="115" t="s">
        <v>239</v>
      </c>
      <c r="E81" s="131">
        <v>2911</v>
      </c>
      <c r="F81" s="131">
        <v>2911</v>
      </c>
      <c r="G81" s="131"/>
      <c r="H81" s="131"/>
      <c r="I81" s="131"/>
      <c r="J81" s="131"/>
      <c r="K81" s="131"/>
      <c r="L81" s="131"/>
      <c r="M81" s="131">
        <v>351</v>
      </c>
      <c r="N81" s="131">
        <v>4560.9840000000004</v>
      </c>
      <c r="O81" s="131"/>
      <c r="P81" s="131"/>
      <c r="Q81" s="131">
        <v>258</v>
      </c>
      <c r="R81" s="131">
        <v>258</v>
      </c>
      <c r="S81" s="131">
        <v>10680.674000000001</v>
      </c>
      <c r="T81" s="131">
        <v>10680.674000000001</v>
      </c>
      <c r="U81" s="131"/>
      <c r="V81" s="131"/>
      <c r="W81" s="128">
        <f>E81+G81+I81+M81+O81+Q81+U81+S81</f>
        <v>14200.674000000001</v>
      </c>
      <c r="X81" s="128">
        <f>F81+H81+J81+N81+P81+R81+V81</f>
        <v>7729.9840000000004</v>
      </c>
      <c r="Y81" s="128">
        <f>F81+H81+J81+L81+N81+P81+R81+V81+T81</f>
        <v>18410.658000000003</v>
      </c>
      <c r="Z81" s="113"/>
      <c r="AA81" s="113"/>
    </row>
    <row r="82" spans="1:27" ht="15.75" x14ac:dyDescent="0.25">
      <c r="A82" s="45">
        <v>81</v>
      </c>
      <c r="B82" s="45"/>
      <c r="C82" s="110"/>
      <c r="D82" s="106" t="s">
        <v>242</v>
      </c>
      <c r="E82" s="130">
        <f t="shared" ref="E82:J82" si="34">E69+E73+E76+E65+E79</f>
        <v>66433.5</v>
      </c>
      <c r="F82" s="130">
        <f t="shared" si="34"/>
        <v>66433.5</v>
      </c>
      <c r="G82" s="130">
        <f t="shared" si="34"/>
        <v>118432</v>
      </c>
      <c r="H82" s="130">
        <f t="shared" si="34"/>
        <v>118432</v>
      </c>
      <c r="I82" s="130">
        <f t="shared" si="34"/>
        <v>289048.07000000007</v>
      </c>
      <c r="J82" s="130">
        <f t="shared" si="34"/>
        <v>301656.07000000007</v>
      </c>
      <c r="K82" s="130">
        <f t="shared" ref="K82:L82" si="35">K69+K73+K76+K65+K79</f>
        <v>0</v>
      </c>
      <c r="L82" s="130">
        <f t="shared" si="35"/>
        <v>0</v>
      </c>
      <c r="M82" s="130">
        <f t="shared" ref="M82:X82" si="36">M69+M73+M76+M65+M79</f>
        <v>111583.408</v>
      </c>
      <c r="N82" s="130">
        <f t="shared" si="36"/>
        <v>131400.016</v>
      </c>
      <c r="O82" s="130">
        <f t="shared" si="36"/>
        <v>117562.95000000003</v>
      </c>
      <c r="P82" s="130">
        <f t="shared" si="36"/>
        <v>118980.39000000003</v>
      </c>
      <c r="Q82" s="130">
        <f t="shared" si="36"/>
        <v>258</v>
      </c>
      <c r="R82" s="130">
        <f t="shared" si="36"/>
        <v>258</v>
      </c>
      <c r="S82" s="130">
        <f t="shared" si="36"/>
        <v>659949.11</v>
      </c>
      <c r="T82" s="130">
        <f t="shared" si="36"/>
        <v>682266.1179999999</v>
      </c>
      <c r="U82" s="130">
        <f t="shared" si="36"/>
        <v>0</v>
      </c>
      <c r="V82" s="130">
        <f t="shared" si="36"/>
        <v>0</v>
      </c>
      <c r="W82" s="130">
        <f t="shared" si="36"/>
        <v>1363267.0380000004</v>
      </c>
      <c r="X82" s="130">
        <f t="shared" si="36"/>
        <v>685964.55800000019</v>
      </c>
      <c r="Y82" s="130">
        <f>Y69+Y73+Y76+Y65+Y79</f>
        <v>1420058.5910000002</v>
      </c>
    </row>
    <row r="83" spans="1:27" ht="15.75" x14ac:dyDescent="0.25">
      <c r="A83" s="45">
        <v>82</v>
      </c>
      <c r="B83" s="45"/>
      <c r="C83" s="110"/>
      <c r="D83" s="106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12"/>
      <c r="Y83" s="192"/>
    </row>
    <row r="84" spans="1:27" x14ac:dyDescent="0.25">
      <c r="A84" s="45">
        <v>83</v>
      </c>
      <c r="B84" s="45"/>
      <c r="C84" s="104"/>
      <c r="D84" s="104" t="s">
        <v>243</v>
      </c>
      <c r="E84" s="129">
        <f t="shared" ref="E84:J84" si="37">E66+E70+E74+E77+E80</f>
        <v>32642.5</v>
      </c>
      <c r="F84" s="129">
        <f t="shared" si="37"/>
        <v>32642.5</v>
      </c>
      <c r="G84" s="129">
        <f t="shared" si="37"/>
        <v>96372.648000000001</v>
      </c>
      <c r="H84" s="129">
        <f t="shared" si="37"/>
        <v>90106.45</v>
      </c>
      <c r="I84" s="129">
        <f t="shared" si="37"/>
        <v>245675.07</v>
      </c>
      <c r="J84" s="129">
        <f t="shared" si="37"/>
        <v>258283.07</v>
      </c>
      <c r="K84" s="129">
        <f t="shared" ref="K84:L84" si="38">K66+K70+K74+K77+K80</f>
        <v>0</v>
      </c>
      <c r="L84" s="129">
        <f t="shared" si="38"/>
        <v>0</v>
      </c>
      <c r="M84" s="129">
        <f t="shared" ref="M84:Y84" si="39">M66+M70+M74+M77+M80</f>
        <v>90401.597999999998</v>
      </c>
      <c r="N84" s="129">
        <f t="shared" si="39"/>
        <v>106008.22199999999</v>
      </c>
      <c r="O84" s="129">
        <f t="shared" si="39"/>
        <v>2000</v>
      </c>
      <c r="P84" s="129">
        <f t="shared" si="39"/>
        <v>2000</v>
      </c>
      <c r="Q84" s="129">
        <f t="shared" si="39"/>
        <v>0</v>
      </c>
      <c r="R84" s="129">
        <f t="shared" si="39"/>
        <v>0</v>
      </c>
      <c r="S84" s="129">
        <f t="shared" si="39"/>
        <v>17671.472999999998</v>
      </c>
      <c r="T84" s="129">
        <f t="shared" si="39"/>
        <v>18303.969999999998</v>
      </c>
      <c r="U84" s="129">
        <f t="shared" si="39"/>
        <v>0</v>
      </c>
      <c r="V84" s="129">
        <f t="shared" si="39"/>
        <v>0</v>
      </c>
      <c r="W84" s="129">
        <f t="shared" si="39"/>
        <v>484763.28899999999</v>
      </c>
      <c r="X84" s="129">
        <f t="shared" si="39"/>
        <v>489040.24200000003</v>
      </c>
      <c r="Y84" s="129">
        <f t="shared" si="39"/>
        <v>507344.212</v>
      </c>
    </row>
    <row r="85" spans="1:27" s="114" customFormat="1" x14ac:dyDescent="0.25">
      <c r="A85" s="45">
        <v>84</v>
      </c>
      <c r="B85" s="45"/>
      <c r="C85" s="104"/>
      <c r="D85" s="104" t="s">
        <v>244</v>
      </c>
      <c r="E85" s="129">
        <f t="shared" ref="E85:J85" si="40">E68+E71+E75+E78+E81</f>
        <v>33791</v>
      </c>
      <c r="F85" s="129">
        <f t="shared" si="40"/>
        <v>33791</v>
      </c>
      <c r="G85" s="129">
        <f t="shared" si="40"/>
        <v>22059.351999999999</v>
      </c>
      <c r="H85" s="129">
        <f t="shared" si="40"/>
        <v>28325.55</v>
      </c>
      <c r="I85" s="129">
        <f t="shared" si="40"/>
        <v>35965</v>
      </c>
      <c r="J85" s="129">
        <f t="shared" si="40"/>
        <v>35965</v>
      </c>
      <c r="K85" s="129">
        <f t="shared" ref="K85:L85" si="41">K68+K71+K75+K78+K81</f>
        <v>0</v>
      </c>
      <c r="L85" s="129">
        <f t="shared" si="41"/>
        <v>0</v>
      </c>
      <c r="M85" s="129">
        <f t="shared" ref="M85:T85" si="42">M68+M71+M75+M78+M81</f>
        <v>21181.81</v>
      </c>
      <c r="N85" s="129">
        <f t="shared" si="42"/>
        <v>25391.794000000002</v>
      </c>
      <c r="O85" s="129">
        <f t="shared" si="42"/>
        <v>115562.95000000003</v>
      </c>
      <c r="P85" s="129">
        <f t="shared" si="42"/>
        <v>116980.39000000003</v>
      </c>
      <c r="Q85" s="129">
        <f t="shared" si="42"/>
        <v>258</v>
      </c>
      <c r="R85" s="129">
        <f t="shared" si="42"/>
        <v>258</v>
      </c>
      <c r="S85" s="129">
        <f t="shared" si="42"/>
        <v>642277.63699999999</v>
      </c>
      <c r="T85" s="129">
        <f t="shared" si="42"/>
        <v>664594.6449999999</v>
      </c>
      <c r="U85" s="129">
        <f>U68</f>
        <v>0</v>
      </c>
      <c r="V85" s="129">
        <f>V68+V78</f>
        <v>0</v>
      </c>
      <c r="W85" s="129">
        <f>W68+W71+W75+W78+W81</f>
        <v>871095.74899999995</v>
      </c>
      <c r="X85" s="129">
        <f>X68+X71+X75+X78+X81</f>
        <v>256131.42299999995</v>
      </c>
      <c r="Y85" s="129">
        <f>Y68+Y71+Y75+Y78+Y81</f>
        <v>905306.37899999996</v>
      </c>
    </row>
    <row r="86" spans="1:27" x14ac:dyDescent="0.25">
      <c r="A86" s="45">
        <v>85</v>
      </c>
      <c r="B86" s="45"/>
      <c r="C86" s="104"/>
      <c r="D86" s="104" t="s">
        <v>344</v>
      </c>
      <c r="E86" s="129">
        <f>E72</f>
        <v>0</v>
      </c>
      <c r="F86" s="129">
        <f>F72</f>
        <v>0</v>
      </c>
      <c r="G86" s="129">
        <f>G72</f>
        <v>0</v>
      </c>
      <c r="H86" s="129">
        <f>H72</f>
        <v>0</v>
      </c>
      <c r="I86" s="129">
        <f>I72+I67</f>
        <v>7408</v>
      </c>
      <c r="J86" s="129">
        <f>J72+J67</f>
        <v>7408</v>
      </c>
      <c r="K86" s="129">
        <f t="shared" ref="K86:L86" si="43">K72+K67</f>
        <v>0</v>
      </c>
      <c r="L86" s="129">
        <f t="shared" si="43"/>
        <v>0</v>
      </c>
      <c r="M86" s="129">
        <f t="shared" ref="M86:V86" si="44">M72</f>
        <v>0</v>
      </c>
      <c r="N86" s="129">
        <f t="shared" si="44"/>
        <v>0</v>
      </c>
      <c r="O86" s="129">
        <f t="shared" si="44"/>
        <v>0</v>
      </c>
      <c r="P86" s="129">
        <f t="shared" si="44"/>
        <v>0</v>
      </c>
      <c r="Q86" s="129">
        <f t="shared" si="44"/>
        <v>0</v>
      </c>
      <c r="R86" s="129">
        <f t="shared" si="44"/>
        <v>0</v>
      </c>
      <c r="S86" s="129">
        <f t="shared" si="44"/>
        <v>0</v>
      </c>
      <c r="T86" s="129">
        <f t="shared" si="44"/>
        <v>0</v>
      </c>
      <c r="U86" s="129">
        <f t="shared" si="44"/>
        <v>0</v>
      </c>
      <c r="V86" s="129">
        <f t="shared" si="44"/>
        <v>0</v>
      </c>
      <c r="W86" s="129">
        <f>W72+W67</f>
        <v>7408</v>
      </c>
      <c r="X86" s="129">
        <f>X72+X67</f>
        <v>5525</v>
      </c>
      <c r="Y86" s="129">
        <f>Y72+Y67</f>
        <v>7408</v>
      </c>
    </row>
    <row r="87" spans="1:27" x14ac:dyDescent="0.25">
      <c r="A87" s="45">
        <v>86</v>
      </c>
      <c r="B87" s="45"/>
      <c r="C87" s="117"/>
      <c r="D87" s="117" t="s">
        <v>245</v>
      </c>
      <c r="E87" s="133">
        <f>SUM(E84:E85)</f>
        <v>66433.5</v>
      </c>
      <c r="F87" s="133">
        <f>SUM(F84:F85)</f>
        <v>66433.5</v>
      </c>
      <c r="G87" s="133">
        <f t="shared" ref="G87" si="45">SUM(G84:G85)</f>
        <v>118432</v>
      </c>
      <c r="H87" s="133">
        <f t="shared" ref="H87" si="46">SUM(H84:H85)</f>
        <v>118432</v>
      </c>
      <c r="I87" s="133">
        <f>SUM(I84:I86)</f>
        <v>289048.07</v>
      </c>
      <c r="J87" s="133">
        <f>SUM(J84:J86)</f>
        <v>301656.07</v>
      </c>
      <c r="K87" s="133">
        <f t="shared" ref="K87:L87" si="47">SUM(K84:K86)</f>
        <v>0</v>
      </c>
      <c r="L87" s="133">
        <f t="shared" si="47"/>
        <v>0</v>
      </c>
      <c r="M87" s="133">
        <f t="shared" ref="M87:U87" si="48">SUM(M84:M85)</f>
        <v>111583.408</v>
      </c>
      <c r="N87" s="133">
        <f t="shared" ref="N87" si="49">SUM(N84:N85)</f>
        <v>131400.016</v>
      </c>
      <c r="O87" s="133">
        <f t="shared" si="48"/>
        <v>117562.95000000003</v>
      </c>
      <c r="P87" s="133">
        <f t="shared" ref="P87" si="50">SUM(P84:P85)</f>
        <v>118980.39000000003</v>
      </c>
      <c r="Q87" s="133">
        <f t="shared" si="48"/>
        <v>258</v>
      </c>
      <c r="R87" s="133">
        <f t="shared" ref="R87:T87" si="51">SUM(R84:R85)</f>
        <v>258</v>
      </c>
      <c r="S87" s="133">
        <f t="shared" si="51"/>
        <v>659949.11</v>
      </c>
      <c r="T87" s="133">
        <f t="shared" si="51"/>
        <v>682898.61499999987</v>
      </c>
      <c r="U87" s="133">
        <f t="shared" si="48"/>
        <v>0</v>
      </c>
      <c r="V87" s="133">
        <f t="shared" ref="V87" si="52">SUM(V84:V85)</f>
        <v>0</v>
      </c>
      <c r="W87" s="133">
        <f>SUM(W84:W86)</f>
        <v>1363267.0379999999</v>
      </c>
      <c r="X87" s="133">
        <f t="shared" ref="X87:Y87" si="53">SUM(X84:X86)</f>
        <v>750696.66500000004</v>
      </c>
      <c r="Y87" s="133">
        <f t="shared" si="53"/>
        <v>1420058.591</v>
      </c>
    </row>
    <row r="90" spans="1:27" x14ac:dyDescent="0.25">
      <c r="O90" s="122" t="s">
        <v>246</v>
      </c>
      <c r="Q90" s="122">
        <v>26133.054</v>
      </c>
    </row>
    <row r="91" spans="1:27" x14ac:dyDescent="0.25">
      <c r="O91" s="122" t="s">
        <v>303</v>
      </c>
      <c r="Q91" s="122">
        <v>6483.085</v>
      </c>
    </row>
    <row r="92" spans="1:27" x14ac:dyDescent="0.25">
      <c r="O92" s="122" t="s">
        <v>247</v>
      </c>
      <c r="Q92" s="122">
        <v>87742.762000000002</v>
      </c>
    </row>
    <row r="93" spans="1:27" x14ac:dyDescent="0.25">
      <c r="O93" s="122" t="s">
        <v>312</v>
      </c>
      <c r="Q93" s="122">
        <f>SUM(Q90:Q92)</f>
        <v>120358.901</v>
      </c>
    </row>
    <row r="94" spans="1:27" x14ac:dyDescent="0.25">
      <c r="O94" s="122" t="s">
        <v>419</v>
      </c>
      <c r="Q94" s="122">
        <v>10610.254000000001</v>
      </c>
    </row>
  </sheetData>
  <mergeCells count="12">
    <mergeCell ref="Q1:W1"/>
    <mergeCell ref="D2:Y2"/>
    <mergeCell ref="E3:F3"/>
    <mergeCell ref="G3:H3"/>
    <mergeCell ref="I3:J3"/>
    <mergeCell ref="M3:N3"/>
    <mergeCell ref="O3:P3"/>
    <mergeCell ref="Q3:R3"/>
    <mergeCell ref="U3:V3"/>
    <mergeCell ref="W3:Y3"/>
    <mergeCell ref="K3:L3"/>
    <mergeCell ref="S3:T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0"/>
  <sheetViews>
    <sheetView view="pageBreakPreview" zoomScaleNormal="100" zoomScaleSheetLayoutView="100" workbookViewId="0">
      <pane xSplit="3" ySplit="3" topLeftCell="H4" activePane="bottomRight" state="frozen"/>
      <selection pane="topRight" activeCell="D1" sqref="D1"/>
      <selection pane="bottomLeft" activeCell="A4" sqref="A4"/>
      <selection pane="bottomRight" activeCell="S7" sqref="S7"/>
    </sheetView>
  </sheetViews>
  <sheetFormatPr defaultRowHeight="15" x14ac:dyDescent="0.25"/>
  <cols>
    <col min="1" max="1" width="6.140625" style="253" customWidth="1"/>
    <col min="2" max="2" width="15.7109375" style="253" customWidth="1"/>
    <col min="3" max="3" width="31.28515625" style="253" bestFit="1" customWidth="1"/>
    <col min="4" max="5" width="12.7109375" style="253" customWidth="1"/>
    <col min="6" max="7" width="12.85546875" style="253" customWidth="1"/>
    <col min="8" max="9" width="16.140625" style="253" customWidth="1"/>
    <col min="10" max="11" width="18.42578125" style="253" customWidth="1"/>
    <col min="12" max="13" width="13.7109375" style="253" customWidth="1"/>
    <col min="14" max="15" width="16" style="253" customWidth="1"/>
    <col min="16" max="19" width="13.85546875" style="253" customWidth="1"/>
    <col min="20" max="20" width="13.7109375" style="253" customWidth="1"/>
    <col min="21" max="22" width="0" style="253" hidden="1" customWidth="1"/>
    <col min="23" max="23" width="11.28515625" style="253" bestFit="1" customWidth="1"/>
    <col min="24" max="16384" width="9.140625" style="253"/>
  </cols>
  <sheetData>
    <row r="1" spans="1:23" x14ac:dyDescent="0.25">
      <c r="L1" s="391" t="s">
        <v>420</v>
      </c>
      <c r="M1" s="391"/>
      <c r="N1" s="391"/>
      <c r="O1" s="391"/>
      <c r="P1" s="391"/>
      <c r="Q1" s="391"/>
      <c r="R1" s="391"/>
      <c r="S1" s="391"/>
      <c r="T1" s="391"/>
    </row>
    <row r="2" spans="1:23" ht="43.5" customHeight="1" x14ac:dyDescent="0.25">
      <c r="A2" s="254">
        <v>1</v>
      </c>
      <c r="B2" s="254"/>
      <c r="C2" s="395" t="s">
        <v>421</v>
      </c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7"/>
    </row>
    <row r="3" spans="1:23" ht="81.75" customHeight="1" x14ac:dyDescent="0.25">
      <c r="A3" s="254">
        <v>2</v>
      </c>
      <c r="B3" s="255" t="s">
        <v>202</v>
      </c>
      <c r="C3" s="256" t="s">
        <v>203</v>
      </c>
      <c r="D3" s="392" t="s">
        <v>159</v>
      </c>
      <c r="E3" s="393"/>
      <c r="F3" s="392" t="s">
        <v>158</v>
      </c>
      <c r="G3" s="393"/>
      <c r="H3" s="392" t="s">
        <v>205</v>
      </c>
      <c r="I3" s="393"/>
      <c r="J3" s="392" t="s">
        <v>206</v>
      </c>
      <c r="K3" s="393"/>
      <c r="L3" s="392" t="s">
        <v>207</v>
      </c>
      <c r="M3" s="393"/>
      <c r="N3" s="392" t="s">
        <v>248</v>
      </c>
      <c r="O3" s="393"/>
      <c r="P3" s="392" t="s">
        <v>249</v>
      </c>
      <c r="Q3" s="393"/>
      <c r="R3" s="392" t="s">
        <v>327</v>
      </c>
      <c r="S3" s="393"/>
      <c r="T3" s="394" t="s">
        <v>209</v>
      </c>
      <c r="U3" s="394"/>
      <c r="V3" s="394"/>
      <c r="W3" s="394"/>
    </row>
    <row r="4" spans="1:23" ht="57" x14ac:dyDescent="0.25">
      <c r="A4" s="254">
        <v>3</v>
      </c>
      <c r="B4" s="254"/>
      <c r="C4" s="257" t="s">
        <v>250</v>
      </c>
      <c r="D4" s="258" t="s">
        <v>422</v>
      </c>
      <c r="E4" s="82" t="s">
        <v>417</v>
      </c>
      <c r="F4" s="258" t="s">
        <v>422</v>
      </c>
      <c r="G4" s="82" t="s">
        <v>417</v>
      </c>
      <c r="H4" s="258" t="s">
        <v>422</v>
      </c>
      <c r="I4" s="82" t="s">
        <v>417</v>
      </c>
      <c r="J4" s="258" t="s">
        <v>422</v>
      </c>
      <c r="K4" s="82" t="s">
        <v>417</v>
      </c>
      <c r="L4" s="258" t="s">
        <v>422</v>
      </c>
      <c r="M4" s="82" t="s">
        <v>417</v>
      </c>
      <c r="N4" s="258" t="s">
        <v>422</v>
      </c>
      <c r="O4" s="82" t="s">
        <v>417</v>
      </c>
      <c r="P4" s="258" t="s">
        <v>422</v>
      </c>
      <c r="Q4" s="82" t="s">
        <v>417</v>
      </c>
      <c r="R4" s="258" t="s">
        <v>422</v>
      </c>
      <c r="S4" s="82" t="s">
        <v>417</v>
      </c>
      <c r="T4" s="258" t="s">
        <v>422</v>
      </c>
      <c r="U4" s="82" t="s">
        <v>417</v>
      </c>
      <c r="V4" s="259" t="s">
        <v>422</v>
      </c>
      <c r="W4" s="82" t="s">
        <v>417</v>
      </c>
    </row>
    <row r="5" spans="1:23" x14ac:dyDescent="0.25">
      <c r="A5" s="254">
        <v>4</v>
      </c>
      <c r="B5" s="254" t="s">
        <v>314</v>
      </c>
      <c r="C5" s="260" t="s">
        <v>305</v>
      </c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>
        <v>7408</v>
      </c>
      <c r="Q5" s="262">
        <v>7408</v>
      </c>
      <c r="R5" s="262"/>
      <c r="S5" s="262"/>
      <c r="T5" s="263">
        <f>D5+F5+H5+J5+L5+P5</f>
        <v>7408</v>
      </c>
      <c r="U5" s="263">
        <f t="shared" ref="U5:V5" si="0">E5+G5+I5+K5+M5+Q5</f>
        <v>7408</v>
      </c>
      <c r="V5" s="263">
        <f t="shared" si="0"/>
        <v>0</v>
      </c>
      <c r="W5" s="263">
        <f>E5+G5+I5+K5+M5+O5+Q5+S5</f>
        <v>7408</v>
      </c>
    </row>
    <row r="6" spans="1:23" x14ac:dyDescent="0.25">
      <c r="A6" s="254"/>
      <c r="B6" s="254" t="s">
        <v>211</v>
      </c>
      <c r="C6" s="260" t="s">
        <v>512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2"/>
      <c r="Q6" s="262"/>
      <c r="R6" s="262"/>
      <c r="S6" s="262"/>
      <c r="T6" s="263">
        <f>D6+F6+H6+J6+L6+P6</f>
        <v>0</v>
      </c>
      <c r="U6" s="263"/>
      <c r="V6" s="264"/>
      <c r="W6" s="263">
        <f>E6+G6+I6+K6+M6+O6+Q6+S6</f>
        <v>0</v>
      </c>
    </row>
    <row r="7" spans="1:23" s="345" customFormat="1" x14ac:dyDescent="0.25">
      <c r="A7" s="329">
        <v>5</v>
      </c>
      <c r="B7" s="329" t="s">
        <v>211</v>
      </c>
      <c r="C7" s="330" t="s">
        <v>251</v>
      </c>
      <c r="D7" s="333">
        <v>345</v>
      </c>
      <c r="E7" s="333">
        <v>345</v>
      </c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3">
        <v>73386.399999999994</v>
      </c>
      <c r="Q7" s="333">
        <f>P7+3275.9</f>
        <v>76662.299999999988</v>
      </c>
      <c r="R7" s="333"/>
      <c r="S7" s="333">
        <v>632.49699999999996</v>
      </c>
      <c r="T7" s="334">
        <f>D7+F7+H7+J7+L7+P7</f>
        <v>73731.399999999994</v>
      </c>
      <c r="U7" s="343">
        <v>218</v>
      </c>
      <c r="V7" s="344">
        <f>1673+87</f>
        <v>1760</v>
      </c>
      <c r="W7" s="334">
        <f>E7+G7+I7+K7+M7+O7+Q7+S7</f>
        <v>77639.796999999991</v>
      </c>
    </row>
    <row r="8" spans="1:23" ht="15.75" x14ac:dyDescent="0.25">
      <c r="A8" s="254">
        <v>6</v>
      </c>
      <c r="B8" s="254"/>
      <c r="C8" s="257" t="s">
        <v>252</v>
      </c>
      <c r="D8" s="263">
        <f t="shared" ref="D8:T8" si="1">SUM(D5:D7)</f>
        <v>345</v>
      </c>
      <c r="E8" s="263">
        <f t="shared" ref="E8" si="2">SUM(E5:E7)</f>
        <v>345</v>
      </c>
      <c r="F8" s="263">
        <f t="shared" si="1"/>
        <v>0</v>
      </c>
      <c r="G8" s="263">
        <f t="shared" ref="G8" si="3">SUM(G5:G7)</f>
        <v>0</v>
      </c>
      <c r="H8" s="263">
        <f t="shared" si="1"/>
        <v>0</v>
      </c>
      <c r="I8" s="263">
        <f t="shared" ref="I8" si="4">SUM(I5:I7)</f>
        <v>0</v>
      </c>
      <c r="J8" s="263">
        <f t="shared" si="1"/>
        <v>0</v>
      </c>
      <c r="K8" s="263">
        <f t="shared" ref="K8" si="5">SUM(K5:K7)</f>
        <v>0</v>
      </c>
      <c r="L8" s="263">
        <f t="shared" si="1"/>
        <v>0</v>
      </c>
      <c r="M8" s="263">
        <f t="shared" ref="M8" si="6">SUM(M5:M7)</f>
        <v>0</v>
      </c>
      <c r="N8" s="263">
        <f t="shared" si="1"/>
        <v>0</v>
      </c>
      <c r="O8" s="263">
        <f t="shared" ref="O8" si="7">SUM(O5:O7)</f>
        <v>0</v>
      </c>
      <c r="P8" s="263">
        <f t="shared" si="1"/>
        <v>80794.399999999994</v>
      </c>
      <c r="Q8" s="263">
        <f t="shared" ref="Q8:S8" si="8">SUM(Q5:Q7)</f>
        <v>84070.299999999988</v>
      </c>
      <c r="R8" s="263">
        <f t="shared" si="8"/>
        <v>0</v>
      </c>
      <c r="S8" s="263">
        <f t="shared" si="8"/>
        <v>632.49699999999996</v>
      </c>
      <c r="T8" s="263">
        <f t="shared" si="1"/>
        <v>81139.399999999994</v>
      </c>
      <c r="U8" s="263"/>
      <c r="V8" s="264"/>
      <c r="W8" s="263">
        <f>E8+G8+I8+K8+M8+O8+Q8+S8</f>
        <v>85047.796999999991</v>
      </c>
    </row>
    <row r="9" spans="1:23" x14ac:dyDescent="0.25">
      <c r="A9" s="254">
        <v>7</v>
      </c>
      <c r="B9" s="266"/>
      <c r="C9" s="266" t="s">
        <v>253</v>
      </c>
      <c r="D9" s="265">
        <f t="shared" ref="D9:W9" si="9">SUMIF($B5:$B7,"kötelező",D5:D7)</f>
        <v>345</v>
      </c>
      <c r="E9" s="265">
        <f t="shared" ref="E9" si="10">SUMIF($B5:$B7,"kötelező",E5:E7)</f>
        <v>345</v>
      </c>
      <c r="F9" s="265">
        <f t="shared" si="9"/>
        <v>0</v>
      </c>
      <c r="G9" s="265">
        <f t="shared" ref="G9" si="11">SUMIF($B5:$B7,"kötelező",G5:G7)</f>
        <v>0</v>
      </c>
      <c r="H9" s="265">
        <f t="shared" si="9"/>
        <v>0</v>
      </c>
      <c r="I9" s="265">
        <f t="shared" ref="I9" si="12">SUMIF($B5:$B7,"kötelező",I5:I7)</f>
        <v>0</v>
      </c>
      <c r="J9" s="265">
        <f t="shared" si="9"/>
        <v>0</v>
      </c>
      <c r="K9" s="265">
        <f t="shared" ref="K9" si="13">SUMIF($B5:$B7,"kötelező",K5:K7)</f>
        <v>0</v>
      </c>
      <c r="L9" s="265">
        <f t="shared" si="9"/>
        <v>0</v>
      </c>
      <c r="M9" s="265">
        <f t="shared" ref="M9" si="14">SUMIF($B5:$B7,"kötelező",M5:M7)</f>
        <v>0</v>
      </c>
      <c r="N9" s="265">
        <f t="shared" si="9"/>
        <v>0</v>
      </c>
      <c r="O9" s="265">
        <f t="shared" ref="O9" si="15">SUMIF($B5:$B7,"kötelező",O5:O7)</f>
        <v>0</v>
      </c>
      <c r="P9" s="265">
        <f t="shared" si="9"/>
        <v>73386.399999999994</v>
      </c>
      <c r="Q9" s="265">
        <f t="shared" ref="Q9:S9" si="16">SUMIF($B5:$B7,"kötelező",Q5:Q7)</f>
        <v>76662.299999999988</v>
      </c>
      <c r="R9" s="265">
        <f t="shared" si="16"/>
        <v>0</v>
      </c>
      <c r="S9" s="265">
        <f t="shared" si="16"/>
        <v>632.49699999999996</v>
      </c>
      <c r="T9" s="265">
        <f t="shared" si="9"/>
        <v>73731.399999999994</v>
      </c>
      <c r="U9" s="265">
        <f t="shared" si="9"/>
        <v>218</v>
      </c>
      <c r="V9" s="265">
        <f t="shared" si="9"/>
        <v>1760</v>
      </c>
      <c r="W9" s="265">
        <f t="shared" si="9"/>
        <v>77639.796999999991</v>
      </c>
    </row>
    <row r="10" spans="1:23" x14ac:dyDescent="0.25">
      <c r="A10" s="254">
        <v>8</v>
      </c>
      <c r="B10" s="266"/>
      <c r="C10" s="266" t="s">
        <v>313</v>
      </c>
      <c r="D10" s="265">
        <f>SUMIF($B5:$B7,"államigazgatási",D5:D7)</f>
        <v>0</v>
      </c>
      <c r="E10" s="265">
        <f>SUMIF($B5:$B7,"államigazgatási",E5:E7)</f>
        <v>0</v>
      </c>
      <c r="F10" s="265">
        <f t="shared" ref="F10:W10" si="17">SUMIF($B5:$B7,"államigazgatási",F5:F7)</f>
        <v>0</v>
      </c>
      <c r="G10" s="265">
        <f t="shared" ref="G10" si="18">SUMIF($B5:$B7,"államigazgatási",G5:G7)</f>
        <v>0</v>
      </c>
      <c r="H10" s="265">
        <f t="shared" si="17"/>
        <v>0</v>
      </c>
      <c r="I10" s="265">
        <f t="shared" ref="I10" si="19">SUMIF($B5:$B7,"államigazgatási",I5:I7)</f>
        <v>0</v>
      </c>
      <c r="J10" s="265">
        <f t="shared" si="17"/>
        <v>0</v>
      </c>
      <c r="K10" s="265">
        <f t="shared" ref="K10" si="20">SUMIF($B5:$B7,"államigazgatási",K5:K7)</f>
        <v>0</v>
      </c>
      <c r="L10" s="265">
        <f t="shared" si="17"/>
        <v>0</v>
      </c>
      <c r="M10" s="265">
        <f t="shared" ref="M10" si="21">SUMIF($B5:$B7,"államigazgatási",M5:M7)</f>
        <v>0</v>
      </c>
      <c r="N10" s="265">
        <f t="shared" si="17"/>
        <v>0</v>
      </c>
      <c r="O10" s="265">
        <f t="shared" ref="O10" si="22">SUMIF($B5:$B7,"államigazgatási",O5:O7)</f>
        <v>0</v>
      </c>
      <c r="P10" s="265">
        <f t="shared" si="17"/>
        <v>7408</v>
      </c>
      <c r="Q10" s="265">
        <f t="shared" ref="Q10:S10" si="23">SUMIF($B5:$B7,"államigazgatási",Q5:Q7)</f>
        <v>7408</v>
      </c>
      <c r="R10" s="265">
        <f t="shared" si="23"/>
        <v>0</v>
      </c>
      <c r="S10" s="265">
        <f t="shared" si="23"/>
        <v>0</v>
      </c>
      <c r="T10" s="265">
        <f t="shared" si="17"/>
        <v>7408</v>
      </c>
      <c r="U10" s="265">
        <f t="shared" si="17"/>
        <v>7408</v>
      </c>
      <c r="V10" s="265">
        <f t="shared" si="17"/>
        <v>0</v>
      </c>
      <c r="W10" s="265">
        <f t="shared" si="17"/>
        <v>7408</v>
      </c>
    </row>
  </sheetData>
  <mergeCells count="11">
    <mergeCell ref="L1:T1"/>
    <mergeCell ref="R3:S3"/>
    <mergeCell ref="D3:E3"/>
    <mergeCell ref="F3:G3"/>
    <mergeCell ref="H3:I3"/>
    <mergeCell ref="J3:K3"/>
    <mergeCell ref="L3:M3"/>
    <mergeCell ref="N3:O3"/>
    <mergeCell ref="P3:Q3"/>
    <mergeCell ref="T3:W3"/>
    <mergeCell ref="C2:W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8"/>
  <sheetViews>
    <sheetView view="pageBreakPreview" zoomScaleNormal="100" zoomScaleSheetLayoutView="100" workbookViewId="0">
      <selection activeCell="P24" sqref="P24"/>
    </sheetView>
  </sheetViews>
  <sheetFormatPr defaultRowHeight="15" x14ac:dyDescent="0.25"/>
  <cols>
    <col min="1" max="1" width="5.28515625" style="267" customWidth="1"/>
    <col min="2" max="2" width="13.28515625" style="267" customWidth="1"/>
    <col min="3" max="3" width="28" style="267" customWidth="1"/>
    <col min="4" max="5" width="11.28515625" style="267" bestFit="1" customWidth="1"/>
    <col min="6" max="6" width="10.85546875" style="267" bestFit="1" customWidth="1"/>
    <col min="7" max="7" width="8.28515625" style="267" bestFit="1" customWidth="1"/>
    <col min="8" max="8" width="10.85546875" style="267" bestFit="1" customWidth="1"/>
    <col min="9" max="9" width="8.28515625" style="267" bestFit="1" customWidth="1"/>
    <col min="10" max="10" width="10.85546875" style="267" bestFit="1" customWidth="1"/>
    <col min="11" max="11" width="8.28515625" style="267" bestFit="1" customWidth="1"/>
    <col min="12" max="12" width="10.85546875" style="267" bestFit="1" customWidth="1"/>
    <col min="13" max="13" width="8.28515625" style="267" bestFit="1" customWidth="1"/>
    <col min="14" max="14" width="10.85546875" style="267" bestFit="1" customWidth="1"/>
    <col min="15" max="15" width="8.28515625" style="267" bestFit="1" customWidth="1"/>
    <col min="16" max="17" width="12.42578125" style="267" bestFit="1" customWidth="1"/>
    <col min="18" max="19" width="8.28515625" style="267" customWidth="1"/>
    <col min="20" max="20" width="16" style="267" customWidth="1"/>
    <col min="21" max="21" width="0" style="269" hidden="1" customWidth="1"/>
    <col min="22" max="22" width="12.42578125" style="267" bestFit="1" customWidth="1"/>
    <col min="23" max="16384" width="9.140625" style="267"/>
  </cols>
  <sheetData>
    <row r="1" spans="1:22" x14ac:dyDescent="0.25">
      <c r="N1" s="253"/>
      <c r="O1" s="253"/>
      <c r="P1" s="253"/>
      <c r="Q1" s="253"/>
      <c r="R1" s="253"/>
      <c r="S1" s="253"/>
      <c r="T1" s="268" t="s">
        <v>423</v>
      </c>
    </row>
    <row r="2" spans="1:22" ht="18.75" x14ac:dyDescent="0.25">
      <c r="A2" s="254">
        <v>1</v>
      </c>
      <c r="B2" s="254"/>
      <c r="C2" s="398" t="s">
        <v>424</v>
      </c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400"/>
    </row>
    <row r="3" spans="1:22" ht="57" customHeight="1" x14ac:dyDescent="0.25">
      <c r="A3" s="254">
        <v>2</v>
      </c>
      <c r="B3" s="255" t="s">
        <v>257</v>
      </c>
      <c r="C3" s="257" t="s">
        <v>203</v>
      </c>
      <c r="D3" s="392" t="s">
        <v>159</v>
      </c>
      <c r="E3" s="393"/>
      <c r="F3" s="392" t="s">
        <v>158</v>
      </c>
      <c r="G3" s="393"/>
      <c r="H3" s="392" t="s">
        <v>205</v>
      </c>
      <c r="I3" s="393"/>
      <c r="J3" s="392" t="s">
        <v>206</v>
      </c>
      <c r="K3" s="393"/>
      <c r="L3" s="392" t="s">
        <v>207</v>
      </c>
      <c r="M3" s="393"/>
      <c r="N3" s="392" t="s">
        <v>248</v>
      </c>
      <c r="O3" s="393"/>
      <c r="P3" s="392" t="s">
        <v>249</v>
      </c>
      <c r="Q3" s="393"/>
      <c r="R3" s="392" t="s">
        <v>327</v>
      </c>
      <c r="S3" s="393"/>
      <c r="T3" s="394" t="s">
        <v>209</v>
      </c>
      <c r="U3" s="394"/>
      <c r="V3" s="394"/>
    </row>
    <row r="4" spans="1:22" ht="57" x14ac:dyDescent="0.25">
      <c r="A4" s="254">
        <v>3</v>
      </c>
      <c r="B4" s="270"/>
      <c r="C4" s="257" t="s">
        <v>250</v>
      </c>
      <c r="D4" s="258" t="s">
        <v>422</v>
      </c>
      <c r="E4" s="82" t="s">
        <v>417</v>
      </c>
      <c r="F4" s="258" t="s">
        <v>422</v>
      </c>
      <c r="G4" s="82" t="s">
        <v>417</v>
      </c>
      <c r="H4" s="258" t="s">
        <v>422</v>
      </c>
      <c r="I4" s="82" t="s">
        <v>417</v>
      </c>
      <c r="J4" s="258" t="s">
        <v>422</v>
      </c>
      <c r="K4" s="82" t="s">
        <v>417</v>
      </c>
      <c r="L4" s="258" t="s">
        <v>422</v>
      </c>
      <c r="M4" s="82" t="s">
        <v>417</v>
      </c>
      <c r="N4" s="258" t="s">
        <v>422</v>
      </c>
      <c r="O4" s="82" t="s">
        <v>417</v>
      </c>
      <c r="P4" s="258" t="s">
        <v>422</v>
      </c>
      <c r="Q4" s="82" t="s">
        <v>417</v>
      </c>
      <c r="R4" s="258" t="s">
        <v>422</v>
      </c>
      <c r="S4" s="82" t="s">
        <v>417</v>
      </c>
      <c r="T4" s="258" t="s">
        <v>422</v>
      </c>
      <c r="U4" s="82" t="s">
        <v>417</v>
      </c>
      <c r="V4" s="82" t="s">
        <v>417</v>
      </c>
    </row>
    <row r="5" spans="1:22" x14ac:dyDescent="0.25">
      <c r="A5" s="254">
        <v>4</v>
      </c>
      <c r="B5" s="254" t="s">
        <v>211</v>
      </c>
      <c r="C5" s="260" t="s">
        <v>258</v>
      </c>
      <c r="D5" s="271"/>
      <c r="E5" s="271"/>
      <c r="F5" s="271"/>
      <c r="G5" s="271"/>
      <c r="H5" s="261"/>
      <c r="I5" s="261"/>
      <c r="J5" s="261"/>
      <c r="K5" s="261"/>
      <c r="L5" s="261"/>
      <c r="M5" s="261"/>
      <c r="N5" s="261"/>
      <c r="O5" s="261"/>
      <c r="P5" s="262">
        <v>2349</v>
      </c>
      <c r="Q5" s="262">
        <f>P5</f>
        <v>2349</v>
      </c>
      <c r="R5" s="262"/>
      <c r="S5" s="262"/>
      <c r="T5" s="263">
        <f t="shared" ref="T5:T14" si="0">D5+F5+H5+J5+L5+N5+P5</f>
        <v>2349</v>
      </c>
      <c r="U5" s="263">
        <f t="shared" ref="U5" si="1">E5+G5+I5+K5+M5+O5+Q5</f>
        <v>2349</v>
      </c>
      <c r="V5" s="263">
        <f>E5+G5+I5+K5+M5+O5+Q5+S5</f>
        <v>2349</v>
      </c>
    </row>
    <row r="6" spans="1:22" x14ac:dyDescent="0.25">
      <c r="A6" s="254">
        <v>6</v>
      </c>
      <c r="B6" s="254" t="s">
        <v>211</v>
      </c>
      <c r="C6" s="260" t="s">
        <v>259</v>
      </c>
      <c r="D6" s="271"/>
      <c r="E6" s="271"/>
      <c r="F6" s="271"/>
      <c r="G6" s="271"/>
      <c r="H6" s="261"/>
      <c r="I6" s="261"/>
      <c r="J6" s="261"/>
      <c r="K6" s="261"/>
      <c r="L6" s="261"/>
      <c r="M6" s="261"/>
      <c r="N6" s="261"/>
      <c r="O6" s="261"/>
      <c r="P6" s="262">
        <v>271.5</v>
      </c>
      <c r="Q6" s="262">
        <f t="shared" ref="Q6:Q14" si="2">P6</f>
        <v>271.5</v>
      </c>
      <c r="R6" s="262"/>
      <c r="S6" s="262"/>
      <c r="T6" s="263">
        <f t="shared" si="0"/>
        <v>271.5</v>
      </c>
      <c r="U6" s="272"/>
      <c r="V6" s="263">
        <f t="shared" ref="V6:V14" si="3">E6+G6+I6+K6+M6+O6+Q6+S6</f>
        <v>271.5</v>
      </c>
    </row>
    <row r="7" spans="1:22" x14ac:dyDescent="0.25">
      <c r="A7" s="254">
        <v>7</v>
      </c>
      <c r="B7" s="254" t="s">
        <v>215</v>
      </c>
      <c r="C7" s="260" t="s">
        <v>260</v>
      </c>
      <c r="D7" s="271"/>
      <c r="E7" s="271"/>
      <c r="F7" s="271"/>
      <c r="G7" s="271"/>
      <c r="H7" s="261"/>
      <c r="I7" s="261"/>
      <c r="J7" s="261"/>
      <c r="K7" s="261"/>
      <c r="L7" s="261"/>
      <c r="M7" s="261"/>
      <c r="N7" s="261"/>
      <c r="O7" s="261"/>
      <c r="P7" s="262">
        <v>1058.5</v>
      </c>
      <c r="Q7" s="262">
        <f t="shared" si="2"/>
        <v>1058.5</v>
      </c>
      <c r="R7" s="262"/>
      <c r="S7" s="262"/>
      <c r="T7" s="263">
        <f t="shared" si="0"/>
        <v>1058.5</v>
      </c>
      <c r="U7" s="272">
        <v>13</v>
      </c>
      <c r="V7" s="263">
        <f t="shared" si="3"/>
        <v>1058.5</v>
      </c>
    </row>
    <row r="8" spans="1:22" x14ac:dyDescent="0.25">
      <c r="A8" s="254">
        <v>8</v>
      </c>
      <c r="B8" s="254" t="s">
        <v>211</v>
      </c>
      <c r="C8" s="260" t="s">
        <v>261</v>
      </c>
      <c r="D8" s="271"/>
      <c r="E8" s="271"/>
      <c r="F8" s="271"/>
      <c r="G8" s="271"/>
      <c r="H8" s="261"/>
      <c r="I8" s="261"/>
      <c r="J8" s="261"/>
      <c r="K8" s="261"/>
      <c r="L8" s="261"/>
      <c r="M8" s="261"/>
      <c r="N8" s="261"/>
      <c r="O8" s="261"/>
      <c r="P8" s="262">
        <v>10164.799999999999</v>
      </c>
      <c r="Q8" s="262">
        <f t="shared" si="2"/>
        <v>10164.799999999999</v>
      </c>
      <c r="R8" s="262"/>
      <c r="S8" s="262"/>
      <c r="T8" s="263">
        <f t="shared" si="0"/>
        <v>10164.799999999999</v>
      </c>
      <c r="U8" s="272"/>
      <c r="V8" s="263">
        <f t="shared" si="3"/>
        <v>10164.799999999999</v>
      </c>
    </row>
    <row r="9" spans="1:22" x14ac:dyDescent="0.25">
      <c r="A9" s="254">
        <v>9</v>
      </c>
      <c r="B9" s="254" t="s">
        <v>211</v>
      </c>
      <c r="C9" s="260" t="s">
        <v>262</v>
      </c>
      <c r="D9" s="271"/>
      <c r="E9" s="271"/>
      <c r="F9" s="271"/>
      <c r="G9" s="271"/>
      <c r="H9" s="261"/>
      <c r="I9" s="261"/>
      <c r="J9" s="261"/>
      <c r="K9" s="261"/>
      <c r="L9" s="261"/>
      <c r="M9" s="261"/>
      <c r="N9" s="261"/>
      <c r="O9" s="261"/>
      <c r="P9" s="262">
        <v>600</v>
      </c>
      <c r="Q9" s="262">
        <f t="shared" si="2"/>
        <v>600</v>
      </c>
      <c r="R9" s="262"/>
      <c r="S9" s="262"/>
      <c r="T9" s="263">
        <f t="shared" si="0"/>
        <v>600</v>
      </c>
      <c r="U9" s="272"/>
      <c r="V9" s="263">
        <f t="shared" si="3"/>
        <v>600</v>
      </c>
    </row>
    <row r="10" spans="1:22" s="335" customFormat="1" x14ac:dyDescent="0.25">
      <c r="A10" s="329">
        <v>10</v>
      </c>
      <c r="B10" s="329" t="s">
        <v>215</v>
      </c>
      <c r="C10" s="330" t="s">
        <v>263</v>
      </c>
      <c r="D10" s="331">
        <v>27730</v>
      </c>
      <c r="E10" s="331">
        <f>D10</f>
        <v>27730</v>
      </c>
      <c r="F10" s="331"/>
      <c r="G10" s="331"/>
      <c r="H10" s="332"/>
      <c r="I10" s="332"/>
      <c r="J10" s="332"/>
      <c r="K10" s="332"/>
      <c r="L10" s="332"/>
      <c r="M10" s="332"/>
      <c r="N10" s="332"/>
      <c r="O10" s="332"/>
      <c r="P10" s="333">
        <v>60255.5</v>
      </c>
      <c r="Q10" s="262">
        <f t="shared" si="2"/>
        <v>60255.5</v>
      </c>
      <c r="R10" s="333"/>
      <c r="S10" s="333">
        <v>316.666</v>
      </c>
      <c r="T10" s="334">
        <f>D10+F10+H10+J10+L10+N10+P10</f>
        <v>87985.5</v>
      </c>
      <c r="U10" s="334">
        <f t="shared" ref="U10" si="4">E10+G10+I10+K10+M10+O10+Q10</f>
        <v>87985.5</v>
      </c>
      <c r="V10" s="334">
        <f t="shared" si="3"/>
        <v>88302.165999999997</v>
      </c>
    </row>
    <row r="11" spans="1:22" x14ac:dyDescent="0.25">
      <c r="A11" s="254">
        <v>11</v>
      </c>
      <c r="B11" s="254" t="s">
        <v>211</v>
      </c>
      <c r="C11" s="260" t="s">
        <v>264</v>
      </c>
      <c r="D11" s="271"/>
      <c r="E11" s="271"/>
      <c r="F11" s="271"/>
      <c r="G11" s="271"/>
      <c r="H11" s="261"/>
      <c r="I11" s="261"/>
      <c r="J11" s="261"/>
      <c r="K11" s="261"/>
      <c r="L11" s="261"/>
      <c r="M11" s="261"/>
      <c r="N11" s="261"/>
      <c r="O11" s="261"/>
      <c r="P11" s="262">
        <v>11364.1</v>
      </c>
      <c r="Q11" s="262">
        <f t="shared" si="2"/>
        <v>11364.1</v>
      </c>
      <c r="R11" s="262"/>
      <c r="S11" s="262"/>
      <c r="T11" s="263">
        <f t="shared" si="0"/>
        <v>11364.1</v>
      </c>
      <c r="U11" s="272">
        <v>4</v>
      </c>
      <c r="V11" s="263">
        <f t="shared" si="3"/>
        <v>11364.1</v>
      </c>
    </row>
    <row r="12" spans="1:22" x14ac:dyDescent="0.25">
      <c r="A12" s="254">
        <v>12</v>
      </c>
      <c r="B12" s="254" t="s">
        <v>211</v>
      </c>
      <c r="C12" s="260" t="s">
        <v>345</v>
      </c>
      <c r="D12" s="271"/>
      <c r="E12" s="271"/>
      <c r="F12" s="271"/>
      <c r="G12" s="271"/>
      <c r="H12" s="261"/>
      <c r="I12" s="261"/>
      <c r="J12" s="261"/>
      <c r="K12" s="261"/>
      <c r="L12" s="261"/>
      <c r="M12" s="261"/>
      <c r="N12" s="261"/>
      <c r="O12" s="261"/>
      <c r="P12" s="262">
        <v>9423</v>
      </c>
      <c r="Q12" s="262">
        <f t="shared" si="2"/>
        <v>9423</v>
      </c>
      <c r="R12" s="262"/>
      <c r="S12" s="262"/>
      <c r="T12" s="263">
        <f t="shared" si="0"/>
        <v>9423</v>
      </c>
      <c r="U12" s="272"/>
      <c r="V12" s="263">
        <f t="shared" si="3"/>
        <v>9423</v>
      </c>
    </row>
    <row r="13" spans="1:22" x14ac:dyDescent="0.25">
      <c r="A13" s="254">
        <v>13</v>
      </c>
      <c r="B13" s="254" t="s">
        <v>211</v>
      </c>
      <c r="C13" s="260" t="s">
        <v>265</v>
      </c>
      <c r="D13" s="273">
        <v>4369</v>
      </c>
      <c r="E13" s="273">
        <f>D13</f>
        <v>4369</v>
      </c>
      <c r="F13" s="271"/>
      <c r="G13" s="271"/>
      <c r="H13" s="261"/>
      <c r="I13" s="261"/>
      <c r="J13" s="261"/>
      <c r="K13" s="261"/>
      <c r="L13" s="261"/>
      <c r="M13" s="261"/>
      <c r="N13" s="261"/>
      <c r="O13" s="261"/>
      <c r="P13" s="262">
        <v>6966</v>
      </c>
      <c r="Q13" s="262">
        <f t="shared" si="2"/>
        <v>6966</v>
      </c>
      <c r="R13" s="262"/>
      <c r="S13" s="262"/>
      <c r="T13" s="263">
        <f t="shared" si="0"/>
        <v>11335</v>
      </c>
      <c r="U13" s="272">
        <v>10237</v>
      </c>
      <c r="V13" s="263">
        <f t="shared" si="3"/>
        <v>11335</v>
      </c>
    </row>
    <row r="14" spans="1:22" x14ac:dyDescent="0.25">
      <c r="A14" s="254">
        <v>14</v>
      </c>
      <c r="B14" s="254" t="s">
        <v>211</v>
      </c>
      <c r="C14" s="260" t="s">
        <v>266</v>
      </c>
      <c r="D14" s="271"/>
      <c r="E14" s="271"/>
      <c r="F14" s="271"/>
      <c r="G14" s="271"/>
      <c r="H14" s="261"/>
      <c r="I14" s="261"/>
      <c r="J14" s="261"/>
      <c r="K14" s="261"/>
      <c r="L14" s="261"/>
      <c r="M14" s="261"/>
      <c r="N14" s="261"/>
      <c r="O14" s="261"/>
      <c r="P14" s="262">
        <v>10739</v>
      </c>
      <c r="Q14" s="262">
        <f t="shared" si="2"/>
        <v>10739</v>
      </c>
      <c r="R14" s="262"/>
      <c r="S14" s="262"/>
      <c r="T14" s="263">
        <f t="shared" si="0"/>
        <v>10739</v>
      </c>
      <c r="U14" s="272"/>
      <c r="V14" s="263">
        <f t="shared" si="3"/>
        <v>10739</v>
      </c>
    </row>
    <row r="15" spans="1:22" ht="15.75" x14ac:dyDescent="0.25">
      <c r="A15" s="254">
        <v>18</v>
      </c>
      <c r="B15" s="254"/>
      <c r="C15" s="257" t="s">
        <v>252</v>
      </c>
      <c r="D15" s="263">
        <f t="shared" ref="D15:V15" si="5">SUM(D5:D14)</f>
        <v>32099</v>
      </c>
      <c r="E15" s="263">
        <f t="shared" si="5"/>
        <v>32099</v>
      </c>
      <c r="F15" s="263">
        <f t="shared" si="5"/>
        <v>0</v>
      </c>
      <c r="G15" s="263">
        <f t="shared" si="5"/>
        <v>0</v>
      </c>
      <c r="H15" s="263">
        <f t="shared" si="5"/>
        <v>0</v>
      </c>
      <c r="I15" s="263">
        <f t="shared" si="5"/>
        <v>0</v>
      </c>
      <c r="J15" s="263">
        <f t="shared" si="5"/>
        <v>0</v>
      </c>
      <c r="K15" s="263">
        <f t="shared" si="5"/>
        <v>0</v>
      </c>
      <c r="L15" s="263">
        <f t="shared" si="5"/>
        <v>0</v>
      </c>
      <c r="M15" s="263">
        <f t="shared" si="5"/>
        <v>0</v>
      </c>
      <c r="N15" s="263">
        <f t="shared" si="5"/>
        <v>0</v>
      </c>
      <c r="O15" s="263">
        <f t="shared" si="5"/>
        <v>0</v>
      </c>
      <c r="P15" s="263">
        <f t="shared" si="5"/>
        <v>113191.40000000001</v>
      </c>
      <c r="Q15" s="263">
        <f t="shared" si="5"/>
        <v>113191.40000000001</v>
      </c>
      <c r="R15" s="263">
        <f t="shared" si="5"/>
        <v>0</v>
      </c>
      <c r="S15" s="263">
        <f t="shared" si="5"/>
        <v>316.666</v>
      </c>
      <c r="T15" s="263">
        <f t="shared" si="5"/>
        <v>145290.40000000002</v>
      </c>
      <c r="U15" s="263">
        <f t="shared" si="5"/>
        <v>100588.5</v>
      </c>
      <c r="V15" s="263">
        <f t="shared" si="5"/>
        <v>145607.06599999999</v>
      </c>
    </row>
    <row r="16" spans="1:22" x14ac:dyDescent="0.25">
      <c r="A16" s="254">
        <v>19</v>
      </c>
      <c r="B16" s="274"/>
      <c r="C16" s="57" t="s">
        <v>238</v>
      </c>
      <c r="D16" s="265">
        <f t="shared" ref="D16:V16" si="6">SUMIF($B5:$B14,"kötelező",D5:D14)</f>
        <v>4369</v>
      </c>
      <c r="E16" s="265">
        <f t="shared" si="6"/>
        <v>4369</v>
      </c>
      <c r="F16" s="265">
        <f t="shared" si="6"/>
        <v>0</v>
      </c>
      <c r="G16" s="265">
        <f t="shared" si="6"/>
        <v>0</v>
      </c>
      <c r="H16" s="265">
        <f t="shared" si="6"/>
        <v>0</v>
      </c>
      <c r="I16" s="265">
        <f t="shared" si="6"/>
        <v>0</v>
      </c>
      <c r="J16" s="265">
        <f t="shared" si="6"/>
        <v>0</v>
      </c>
      <c r="K16" s="265">
        <f t="shared" si="6"/>
        <v>0</v>
      </c>
      <c r="L16" s="265">
        <f t="shared" si="6"/>
        <v>0</v>
      </c>
      <c r="M16" s="265">
        <f t="shared" si="6"/>
        <v>0</v>
      </c>
      <c r="N16" s="265">
        <f t="shared" si="6"/>
        <v>0</v>
      </c>
      <c r="O16" s="265">
        <f t="shared" si="6"/>
        <v>0</v>
      </c>
      <c r="P16" s="265">
        <f t="shared" si="6"/>
        <v>51877.4</v>
      </c>
      <c r="Q16" s="265">
        <f t="shared" si="6"/>
        <v>51877.4</v>
      </c>
      <c r="R16" s="265">
        <f t="shared" si="6"/>
        <v>0</v>
      </c>
      <c r="S16" s="265">
        <f t="shared" si="6"/>
        <v>0</v>
      </c>
      <c r="T16" s="265">
        <f t="shared" si="6"/>
        <v>56246.400000000001</v>
      </c>
      <c r="U16" s="265">
        <f t="shared" si="6"/>
        <v>12590</v>
      </c>
      <c r="V16" s="265">
        <f t="shared" si="6"/>
        <v>56246.400000000001</v>
      </c>
    </row>
    <row r="17" spans="1:22" x14ac:dyDescent="0.25">
      <c r="A17" s="254">
        <v>20</v>
      </c>
      <c r="B17" s="274"/>
      <c r="C17" s="57" t="s">
        <v>239</v>
      </c>
      <c r="D17" s="265">
        <f t="shared" ref="D17:V17" si="7">SUMIF($B5:$B14,"nem kötelező",D5:D14)</f>
        <v>27730</v>
      </c>
      <c r="E17" s="265">
        <f t="shared" si="7"/>
        <v>27730</v>
      </c>
      <c r="F17" s="265">
        <f t="shared" si="7"/>
        <v>0</v>
      </c>
      <c r="G17" s="265">
        <f t="shared" si="7"/>
        <v>0</v>
      </c>
      <c r="H17" s="265">
        <f t="shared" si="7"/>
        <v>0</v>
      </c>
      <c r="I17" s="265">
        <f t="shared" si="7"/>
        <v>0</v>
      </c>
      <c r="J17" s="265">
        <f t="shared" si="7"/>
        <v>0</v>
      </c>
      <c r="K17" s="265">
        <f t="shared" si="7"/>
        <v>0</v>
      </c>
      <c r="L17" s="265">
        <f t="shared" si="7"/>
        <v>0</v>
      </c>
      <c r="M17" s="265">
        <f t="shared" si="7"/>
        <v>0</v>
      </c>
      <c r="N17" s="265">
        <f t="shared" si="7"/>
        <v>0</v>
      </c>
      <c r="O17" s="265">
        <f t="shared" si="7"/>
        <v>0</v>
      </c>
      <c r="P17" s="265">
        <f t="shared" si="7"/>
        <v>61314</v>
      </c>
      <c r="Q17" s="265">
        <f t="shared" si="7"/>
        <v>61314</v>
      </c>
      <c r="R17" s="265">
        <f t="shared" si="7"/>
        <v>0</v>
      </c>
      <c r="S17" s="265">
        <f t="shared" si="7"/>
        <v>316.666</v>
      </c>
      <c r="T17" s="265">
        <f t="shared" si="7"/>
        <v>89044</v>
      </c>
      <c r="U17" s="265">
        <f t="shared" si="7"/>
        <v>87998.5</v>
      </c>
      <c r="V17" s="265">
        <f t="shared" si="7"/>
        <v>89360.665999999997</v>
      </c>
    </row>
    <row r="18" spans="1:22" x14ac:dyDescent="0.25"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</row>
  </sheetData>
  <mergeCells count="10">
    <mergeCell ref="N3:O3"/>
    <mergeCell ref="P3:Q3"/>
    <mergeCell ref="T3:V3"/>
    <mergeCell ref="C2:V2"/>
    <mergeCell ref="R3:S3"/>
    <mergeCell ref="D3:E3"/>
    <mergeCell ref="F3:G3"/>
    <mergeCell ref="H3:I3"/>
    <mergeCell ref="J3:K3"/>
    <mergeCell ref="L3:M3"/>
  </mergeCells>
  <printOptions horizontalCentered="1"/>
  <pageMargins left="0.70866141732283472" right="0.1640625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6</vt:i4>
      </vt:variant>
    </vt:vector>
  </HeadingPairs>
  <TitlesOfParts>
    <vt:vector size="24" baseType="lpstr">
      <vt:lpstr>1.1.összevont</vt:lpstr>
      <vt:lpstr>1.2.kötelező</vt:lpstr>
      <vt:lpstr>1.3.önként</vt:lpstr>
      <vt:lpstr>1.4.államigazg</vt:lpstr>
      <vt:lpstr>2.1.műkmérleg</vt:lpstr>
      <vt:lpstr>2.2.felhmérleg</vt:lpstr>
      <vt:lpstr>3.1 Önk bev.</vt:lpstr>
      <vt:lpstr>3.2 PMH bev.</vt:lpstr>
      <vt:lpstr>3.3 GKP bev</vt:lpstr>
      <vt:lpstr>3.4 VE bev</vt:lpstr>
      <vt:lpstr>3.5 MH bev.</vt:lpstr>
      <vt:lpstr>4.1.Önk kiad</vt:lpstr>
      <vt:lpstr>4.2.PMH kiad</vt:lpstr>
      <vt:lpstr>4.3. GKP kiad</vt:lpstr>
      <vt:lpstr>4.4. VE kiad</vt:lpstr>
      <vt:lpstr>4.5. MH kiad</vt:lpstr>
      <vt:lpstr>5.Beruh</vt:lpstr>
      <vt:lpstr>6.Felújít</vt:lpstr>
      <vt:lpstr>'3.1 Önk bev.'!Nyomtatási_terület</vt:lpstr>
      <vt:lpstr>'4.1.Önk kiad'!Nyomtatási_terület</vt:lpstr>
      <vt:lpstr>'4.2.PMH kiad'!Nyomtatási_terület</vt:lpstr>
      <vt:lpstr>'4.3. GKP kiad'!Nyomtatási_terület</vt:lpstr>
      <vt:lpstr>'4.4. VE kiad'!Nyomtatási_terület</vt:lpstr>
      <vt:lpstr>'4.5. MH kiad'!Nyomtatási_terület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2019-04-26T13:25:21Z</dcterms:modified>
</cp:coreProperties>
</file>